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omáš\Downloads\"/>
    </mc:Choice>
  </mc:AlternateContent>
  <bookViews>
    <workbookView xWindow="0" yWindow="0" windowWidth="20430" windowHeight="8250"/>
  </bookViews>
  <sheets>
    <sheet name="Bilance" sheetId="1" r:id="rId1"/>
    <sheet name="H" sheetId="3" state="hidden" r:id="rId2"/>
    <sheet name="GRAF" sheetId="7" state="hidden" r:id="rId3"/>
    <sheet name="G" sheetId="4" state="hidden" r:id="rId4"/>
    <sheet name="BAZ" sheetId="5" state="hidden" r:id="rId5"/>
  </sheets>
  <externalReferences>
    <externalReference r:id="rId6"/>
  </externalReferences>
  <definedNames>
    <definedName name="_p">[1]Zadání!$F$35</definedName>
    <definedName name="_v">[1]Zadání!$F$17</definedName>
    <definedName name="A_b">[1]Zadání!$F$19</definedName>
    <definedName name="beta_n">[1]BAZ!$C$5</definedName>
    <definedName name="beta_p">[1]BAZ!$C$4</definedName>
    <definedName name="eps">[1]Zadání!$G$16</definedName>
    <definedName name="f_rel_e">[1]BAZ!$C$3</definedName>
    <definedName name="f_rel_i">[1]BAZ!$C$2</definedName>
    <definedName name="h_e">[1]BAZ!$C$7</definedName>
    <definedName name="h_i">[1]BAZ!$C$6</definedName>
    <definedName name="I_w">[1]BAZ!$C$1</definedName>
    <definedName name="kb_e">[1]BAZ!$C$9</definedName>
    <definedName name="kb_i">[1]BAZ!$C$8</definedName>
    <definedName name="_xlnm.Print_Area" localSheetId="0">Bilance!$A$1:$O$58</definedName>
    <definedName name="plocha">[1]Zadání!$F$32</definedName>
    <definedName name="pocet">[1]Zadání!$F$31</definedName>
    <definedName name="Q_z">[1]Zadání!$F$12</definedName>
    <definedName name="T_e">[1]Zadání!$F$14</definedName>
    <definedName name="T_i">[1]Zadání!$F$13</definedName>
    <definedName name="t_sv">[1]Zadání!$F$8</definedName>
    <definedName name="t_tv">[1]Zadání!$F$9</definedName>
    <definedName name="t_wp" localSheetId="4">BAZ!#REF!</definedName>
    <definedName name="t_wp" localSheetId="3">[1]BAZ!#REF!</definedName>
    <definedName name="t_wp">[1]BAZ!#REF!</definedName>
    <definedName name="tau_p">[1]Zadání!$F$25</definedName>
    <definedName name="V_sv" localSheetId="4">BAZ!#REF!</definedName>
    <definedName name="V_sv" localSheetId="3">[1]BAZ!#REF!</definedName>
    <definedName name="V_sv">[1]BAZ!#REF!</definedName>
    <definedName name="VSV_os">[1]BAZ!$C$10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C13" i="7" s="1"/>
  <c r="F55" i="1"/>
  <c r="C12" i="7" s="1"/>
  <c r="F54" i="1"/>
  <c r="C11" i="7" s="1"/>
  <c r="F53" i="1"/>
  <c r="C10" i="7" s="1"/>
  <c r="F52" i="1"/>
  <c r="C9" i="7" s="1"/>
  <c r="F51" i="1"/>
  <c r="C8" i="7" s="1"/>
  <c r="F50" i="1"/>
  <c r="C7" i="7" s="1"/>
  <c r="F49" i="1"/>
  <c r="C6" i="7" s="1"/>
  <c r="F48" i="1"/>
  <c r="C5" i="7" s="1"/>
  <c r="F47" i="1"/>
  <c r="C4" i="7" s="1"/>
  <c r="F46" i="1"/>
  <c r="C3" i="7" s="1"/>
  <c r="F45" i="1"/>
  <c r="C2" i="7" s="1"/>
  <c r="E41" i="1"/>
  <c r="D42" i="3"/>
  <c r="N40" i="3"/>
  <c r="M40" i="3"/>
  <c r="L40" i="3"/>
  <c r="K40" i="3"/>
  <c r="J40" i="3"/>
  <c r="I40" i="3"/>
  <c r="H40" i="3"/>
  <c r="G40" i="3"/>
  <c r="F40" i="3"/>
  <c r="E40" i="3"/>
  <c r="D40" i="3"/>
  <c r="C40" i="3"/>
  <c r="N39" i="3"/>
  <c r="M39" i="3"/>
  <c r="L39" i="3"/>
  <c r="K39" i="3"/>
  <c r="J39" i="3"/>
  <c r="I39" i="3"/>
  <c r="H39" i="3"/>
  <c r="G39" i="3"/>
  <c r="F39" i="3"/>
  <c r="E39" i="3"/>
  <c r="D39" i="3"/>
  <c r="C39" i="3"/>
  <c r="N38" i="3"/>
  <c r="M38" i="3"/>
  <c r="L38" i="3"/>
  <c r="K38" i="3"/>
  <c r="J38" i="3"/>
  <c r="I38" i="3"/>
  <c r="H38" i="3"/>
  <c r="G38" i="3"/>
  <c r="F38" i="3"/>
  <c r="E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C37" i="3"/>
  <c r="N36" i="3"/>
  <c r="M36" i="3"/>
  <c r="L36" i="3"/>
  <c r="K36" i="3"/>
  <c r="J36" i="3"/>
  <c r="I36" i="3"/>
  <c r="H36" i="3"/>
  <c r="G36" i="3"/>
  <c r="F36" i="3"/>
  <c r="E36" i="3"/>
  <c r="D36" i="3"/>
  <c r="C36" i="3"/>
  <c r="N35" i="3"/>
  <c r="M35" i="3"/>
  <c r="L35" i="3"/>
  <c r="K35" i="3"/>
  <c r="J35" i="3"/>
  <c r="I35" i="3"/>
  <c r="H35" i="3"/>
  <c r="G35" i="3"/>
  <c r="F35" i="3"/>
  <c r="E35" i="3"/>
  <c r="D35" i="3"/>
  <c r="C35" i="3"/>
  <c r="D32" i="3"/>
  <c r="D43" i="4"/>
  <c r="D33" i="4"/>
  <c r="C39" i="4"/>
  <c r="D39" i="4"/>
  <c r="E39" i="4"/>
  <c r="F39" i="4"/>
  <c r="G39" i="4"/>
  <c r="H39" i="4"/>
  <c r="I39" i="4"/>
  <c r="J39" i="4"/>
  <c r="K39" i="4"/>
  <c r="L39" i="4"/>
  <c r="M39" i="4"/>
  <c r="N39" i="4"/>
  <c r="C40" i="4"/>
  <c r="D40" i="4"/>
  <c r="E40" i="4"/>
  <c r="F40" i="4"/>
  <c r="G40" i="4"/>
  <c r="H40" i="4"/>
  <c r="I40" i="4"/>
  <c r="J40" i="4"/>
  <c r="K40" i="4"/>
  <c r="L40" i="4"/>
  <c r="M40" i="4"/>
  <c r="N40" i="4"/>
  <c r="C41" i="4"/>
  <c r="D41" i="4"/>
  <c r="E41" i="4"/>
  <c r="F41" i="4"/>
  <c r="G41" i="4"/>
  <c r="H41" i="4"/>
  <c r="I41" i="4"/>
  <c r="J41" i="4"/>
  <c r="K41" i="4"/>
  <c r="L41" i="4"/>
  <c r="M41" i="4"/>
  <c r="N41" i="4"/>
  <c r="N38" i="4"/>
  <c r="M38" i="4"/>
  <c r="L38" i="4"/>
  <c r="K38" i="4"/>
  <c r="J38" i="4"/>
  <c r="I38" i="4"/>
  <c r="H38" i="4"/>
  <c r="G38" i="4"/>
  <c r="F38" i="4"/>
  <c r="E38" i="4"/>
  <c r="D38" i="4"/>
  <c r="C38" i="4"/>
  <c r="N37" i="4"/>
  <c r="M37" i="4"/>
  <c r="L37" i="4"/>
  <c r="K37" i="4"/>
  <c r="J37" i="4"/>
  <c r="I37" i="4"/>
  <c r="H37" i="4"/>
  <c r="G37" i="4"/>
  <c r="F37" i="4"/>
  <c r="E37" i="4"/>
  <c r="D37" i="4"/>
  <c r="C37" i="4"/>
  <c r="N36" i="4"/>
  <c r="M36" i="4"/>
  <c r="L36" i="4"/>
  <c r="K36" i="4"/>
  <c r="J36" i="4"/>
  <c r="I36" i="4"/>
  <c r="H36" i="4"/>
  <c r="G36" i="4"/>
  <c r="F36" i="4"/>
  <c r="E36" i="4"/>
  <c r="D36" i="4"/>
  <c r="C36" i="4"/>
  <c r="B56" i="1"/>
  <c r="B55" i="1"/>
  <c r="B54" i="1"/>
  <c r="B53" i="1"/>
  <c r="B52" i="1"/>
  <c r="B51" i="1"/>
  <c r="B50" i="1"/>
  <c r="B49" i="1"/>
  <c r="B48" i="1"/>
  <c r="B47" i="1"/>
  <c r="B46" i="1"/>
  <c r="B45" i="1"/>
  <c r="M41" i="5"/>
  <c r="N41" i="5" s="1"/>
  <c r="M40" i="5"/>
  <c r="N40" i="5" s="1"/>
  <c r="M39" i="5"/>
  <c r="N39" i="5" s="1"/>
  <c r="M38" i="5"/>
  <c r="N38" i="5" s="1"/>
  <c r="M37" i="5"/>
  <c r="N37" i="5" s="1"/>
  <c r="M36" i="5"/>
  <c r="N36" i="5" s="1"/>
  <c r="M35" i="5"/>
  <c r="N35" i="5" s="1"/>
  <c r="M34" i="5"/>
  <c r="N34" i="5" s="1"/>
  <c r="M33" i="5"/>
  <c r="N33" i="5" s="1"/>
  <c r="M32" i="5"/>
  <c r="N32" i="5" s="1"/>
  <c r="M31" i="5"/>
  <c r="N31" i="5" s="1"/>
  <c r="M30" i="5"/>
  <c r="N30" i="5" s="1"/>
  <c r="V25" i="5"/>
  <c r="V11" i="5"/>
  <c r="S26" i="5"/>
  <c r="S25" i="5"/>
  <c r="T25" i="5" s="1"/>
  <c r="S24" i="5"/>
  <c r="T24" i="5" s="1"/>
  <c r="S23" i="5"/>
  <c r="T23" i="5" s="1"/>
  <c r="S22" i="5"/>
  <c r="T22" i="5" s="1"/>
  <c r="S21" i="5"/>
  <c r="T21" i="5" s="1"/>
  <c r="S20" i="5"/>
  <c r="T20" i="5" s="1"/>
  <c r="S19" i="5"/>
  <c r="T19" i="5" s="1"/>
  <c r="S18" i="5"/>
  <c r="T18" i="5" s="1"/>
  <c r="S17" i="5"/>
  <c r="T17" i="5" s="1"/>
  <c r="S16" i="5"/>
  <c r="T16" i="5" s="1"/>
  <c r="S15" i="5"/>
  <c r="T15" i="5" s="1"/>
  <c r="S13" i="5"/>
  <c r="T13" i="5" s="1"/>
  <c r="S12" i="5"/>
  <c r="T12" i="5" s="1"/>
  <c r="S11" i="5"/>
  <c r="T11" i="5" s="1"/>
  <c r="S10" i="5"/>
  <c r="T10" i="5" s="1"/>
  <c r="S9" i="5"/>
  <c r="T9" i="5" s="1"/>
  <c r="S8" i="5"/>
  <c r="T8" i="5" s="1"/>
  <c r="S7" i="5"/>
  <c r="T7" i="5" s="1"/>
  <c r="S6" i="5"/>
  <c r="T6" i="5" s="1"/>
  <c r="S5" i="5"/>
  <c r="T5" i="5" s="1"/>
  <c r="S4" i="5"/>
  <c r="T4" i="5" s="1"/>
  <c r="S3" i="5"/>
  <c r="T3" i="5" s="1"/>
  <c r="S2" i="5"/>
  <c r="T2" i="5" s="1"/>
  <c r="C5" i="5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I26" i="5"/>
  <c r="L26" i="5" s="1"/>
  <c r="M26" i="5" s="1"/>
  <c r="I25" i="5"/>
  <c r="L25" i="5" s="1"/>
  <c r="M25" i="5" s="1"/>
  <c r="I24" i="5"/>
  <c r="L24" i="5" s="1"/>
  <c r="M24" i="5" s="1"/>
  <c r="I23" i="5"/>
  <c r="L23" i="5" s="1"/>
  <c r="M23" i="5" s="1"/>
  <c r="I22" i="5"/>
  <c r="L22" i="5" s="1"/>
  <c r="M22" i="5" s="1"/>
  <c r="I21" i="5"/>
  <c r="L21" i="5" s="1"/>
  <c r="M21" i="5" s="1"/>
  <c r="I20" i="5"/>
  <c r="L20" i="5" s="1"/>
  <c r="M20" i="5" s="1"/>
  <c r="I19" i="5"/>
  <c r="L19" i="5" s="1"/>
  <c r="M19" i="5" s="1"/>
  <c r="I18" i="5"/>
  <c r="L18" i="5" s="1"/>
  <c r="M18" i="5" s="1"/>
  <c r="I17" i="5"/>
  <c r="L17" i="5" s="1"/>
  <c r="M17" i="5" s="1"/>
  <c r="I16" i="5"/>
  <c r="L16" i="5" s="1"/>
  <c r="M16" i="5" s="1"/>
  <c r="I15" i="5"/>
  <c r="L15" i="5" s="1"/>
  <c r="M15" i="5" s="1"/>
  <c r="I3" i="5"/>
  <c r="L3" i="5" s="1"/>
  <c r="M3" i="5" s="1"/>
  <c r="J3" i="5"/>
  <c r="K3" i="5" s="1"/>
  <c r="I4" i="5"/>
  <c r="L4" i="5" s="1"/>
  <c r="M4" i="5" s="1"/>
  <c r="J4" i="5"/>
  <c r="K4" i="5" s="1"/>
  <c r="I5" i="5"/>
  <c r="L5" i="5" s="1"/>
  <c r="M5" i="5" s="1"/>
  <c r="J5" i="5"/>
  <c r="I6" i="5"/>
  <c r="L6" i="5" s="1"/>
  <c r="M6" i="5" s="1"/>
  <c r="J6" i="5"/>
  <c r="K6" i="5" s="1"/>
  <c r="I7" i="5"/>
  <c r="L7" i="5" s="1"/>
  <c r="M7" i="5" s="1"/>
  <c r="J7" i="5"/>
  <c r="K7" i="5" s="1"/>
  <c r="I8" i="5"/>
  <c r="L8" i="5" s="1"/>
  <c r="M8" i="5" s="1"/>
  <c r="J8" i="5"/>
  <c r="K8" i="5" s="1"/>
  <c r="I9" i="5"/>
  <c r="L9" i="5" s="1"/>
  <c r="M9" i="5" s="1"/>
  <c r="J9" i="5"/>
  <c r="K9" i="5" s="1"/>
  <c r="I10" i="5"/>
  <c r="L10" i="5" s="1"/>
  <c r="M10" i="5" s="1"/>
  <c r="J10" i="5"/>
  <c r="K10" i="5" s="1"/>
  <c r="I11" i="5"/>
  <c r="L11" i="5" s="1"/>
  <c r="M11" i="5" s="1"/>
  <c r="J11" i="5"/>
  <c r="I12" i="5"/>
  <c r="L12" i="5" s="1"/>
  <c r="M12" i="5" s="1"/>
  <c r="J12" i="5"/>
  <c r="K12" i="5" s="1"/>
  <c r="I13" i="5"/>
  <c r="L13" i="5" s="1"/>
  <c r="M13" i="5" s="1"/>
  <c r="J13" i="5"/>
  <c r="K13" i="5" s="1"/>
  <c r="J2" i="5"/>
  <c r="K2" i="5" s="1"/>
  <c r="I2" i="5"/>
  <c r="L2" i="5" s="1"/>
  <c r="M2" i="5" s="1"/>
  <c r="C10" i="5"/>
  <c r="C9" i="5"/>
  <c r="U26" i="5"/>
  <c r="V26" i="5" s="1"/>
  <c r="T26" i="5"/>
  <c r="U25" i="5"/>
  <c r="U24" i="5"/>
  <c r="V24" i="5" s="1"/>
  <c r="U23" i="5"/>
  <c r="V23" i="5" s="1"/>
  <c r="U22" i="5"/>
  <c r="V22" i="5" s="1"/>
  <c r="U21" i="5"/>
  <c r="V21" i="5" s="1"/>
  <c r="U20" i="5"/>
  <c r="V20" i="5" s="1"/>
  <c r="U19" i="5"/>
  <c r="V19" i="5" s="1"/>
  <c r="U18" i="5"/>
  <c r="V18" i="5" s="1"/>
  <c r="U17" i="5"/>
  <c r="V17" i="5" s="1"/>
  <c r="U16" i="5"/>
  <c r="V16" i="5" s="1"/>
  <c r="U15" i="5"/>
  <c r="V15" i="5" s="1"/>
  <c r="U13" i="5"/>
  <c r="V13" i="5" s="1"/>
  <c r="U12" i="5"/>
  <c r="V12" i="5" s="1"/>
  <c r="U11" i="5"/>
  <c r="U10" i="5"/>
  <c r="V10" i="5" s="1"/>
  <c r="U9" i="5"/>
  <c r="V9" i="5" s="1"/>
  <c r="U8" i="5"/>
  <c r="V8" i="5" s="1"/>
  <c r="U7" i="5"/>
  <c r="V7" i="5" s="1"/>
  <c r="U6" i="5"/>
  <c r="V6" i="5" s="1"/>
  <c r="U5" i="5"/>
  <c r="V5" i="5" s="1"/>
  <c r="U4" i="5"/>
  <c r="V4" i="5" s="1"/>
  <c r="U3" i="5"/>
  <c r="V3" i="5" s="1"/>
  <c r="U2" i="5"/>
  <c r="V2" i="5" s="1"/>
  <c r="M44" i="3" l="1"/>
  <c r="D55" i="1" s="1"/>
  <c r="F44" i="3"/>
  <c r="D48" i="1" s="1"/>
  <c r="N44" i="3"/>
  <c r="D56" i="1" s="1"/>
  <c r="M45" i="4"/>
  <c r="C55" i="1" s="1"/>
  <c r="C44" i="3"/>
  <c r="D45" i="1" s="1"/>
  <c r="G44" i="3"/>
  <c r="D49" i="1" s="1"/>
  <c r="K44" i="3"/>
  <c r="D53" i="1" s="1"/>
  <c r="D44" i="3"/>
  <c r="D46" i="1" s="1"/>
  <c r="H44" i="3"/>
  <c r="D50" i="1" s="1"/>
  <c r="L44" i="3"/>
  <c r="D54" i="1" s="1"/>
  <c r="J44" i="3"/>
  <c r="D52" i="1" s="1"/>
  <c r="N2" i="5"/>
  <c r="E44" i="3"/>
  <c r="D47" i="1" s="1"/>
  <c r="I44" i="3"/>
  <c r="D51" i="1" s="1"/>
  <c r="C45" i="4"/>
  <c r="C45" i="1" s="1"/>
  <c r="G45" i="4"/>
  <c r="C49" i="1" s="1"/>
  <c r="K45" i="4"/>
  <c r="C53" i="1" s="1"/>
  <c r="F45" i="4"/>
  <c r="C48" i="1" s="1"/>
  <c r="J45" i="4"/>
  <c r="C52" i="1" s="1"/>
  <c r="D45" i="4"/>
  <c r="C46" i="1" s="1"/>
  <c r="H45" i="4"/>
  <c r="C50" i="1" s="1"/>
  <c r="L45" i="4"/>
  <c r="C54" i="1" s="1"/>
  <c r="N45" i="4"/>
  <c r="C56" i="1" s="1"/>
  <c r="E45" i="4"/>
  <c r="C47" i="1" s="1"/>
  <c r="I45" i="4"/>
  <c r="C51" i="1" s="1"/>
  <c r="C6" i="5"/>
  <c r="X16" i="5" s="1"/>
  <c r="X2" i="5"/>
  <c r="X10" i="5"/>
  <c r="X6" i="5"/>
  <c r="X3" i="5"/>
  <c r="X7" i="5"/>
  <c r="X11" i="5"/>
  <c r="X4" i="5"/>
  <c r="X8" i="5"/>
  <c r="X12" i="5"/>
  <c r="X5" i="5"/>
  <c r="X9" i="5"/>
  <c r="X13" i="5"/>
  <c r="N4" i="5"/>
  <c r="N9" i="5"/>
  <c r="N6" i="5"/>
  <c r="N10" i="5"/>
  <c r="N7" i="5"/>
  <c r="N13" i="5"/>
  <c r="N12" i="5"/>
  <c r="N3" i="5"/>
  <c r="N8" i="5"/>
  <c r="K5" i="5"/>
  <c r="N5" i="5" s="1"/>
  <c r="K11" i="5"/>
  <c r="N11" i="5" s="1"/>
  <c r="I31" i="1"/>
  <c r="AO13" i="1" s="1"/>
  <c r="D31" i="1"/>
  <c r="AN19" i="1" s="1"/>
  <c r="AQ19" i="1" s="1"/>
  <c r="N35" i="4"/>
  <c r="M35" i="4"/>
  <c r="L35" i="4"/>
  <c r="K35" i="4"/>
  <c r="J35" i="4"/>
  <c r="I35" i="4"/>
  <c r="H35" i="4"/>
  <c r="G35" i="4"/>
  <c r="F35" i="4"/>
  <c r="E35" i="4"/>
  <c r="D35" i="4"/>
  <c r="C35" i="4"/>
  <c r="N34" i="3"/>
  <c r="M34" i="3"/>
  <c r="L34" i="3"/>
  <c r="K34" i="3"/>
  <c r="J34" i="3"/>
  <c r="I34" i="3"/>
  <c r="H34" i="3"/>
  <c r="G34" i="3"/>
  <c r="F34" i="3"/>
  <c r="E34" i="3"/>
  <c r="D34" i="3"/>
  <c r="C34" i="3"/>
  <c r="X17" i="5" l="1"/>
  <c r="X24" i="5"/>
  <c r="X20" i="5"/>
  <c r="L35" i="5" s="1"/>
  <c r="P35" i="5" s="1"/>
  <c r="X22" i="5"/>
  <c r="X21" i="5"/>
  <c r="L36" i="5" s="1"/>
  <c r="P36" i="5" s="1"/>
  <c r="X18" i="5"/>
  <c r="L33" i="5" s="1"/>
  <c r="P33" i="5" s="1"/>
  <c r="X25" i="5"/>
  <c r="L40" i="5" s="1"/>
  <c r="P40" i="5" s="1"/>
  <c r="AO23" i="1"/>
  <c r="AO16" i="1"/>
  <c r="AO22" i="1"/>
  <c r="AO15" i="1"/>
  <c r="AO21" i="1"/>
  <c r="AO14" i="1"/>
  <c r="AO12" i="1"/>
  <c r="AO20" i="1"/>
  <c r="X26" i="5"/>
  <c r="L41" i="5" s="1"/>
  <c r="P41" i="5" s="1"/>
  <c r="X23" i="5"/>
  <c r="L38" i="5" s="1"/>
  <c r="P38" i="5" s="1"/>
  <c r="X19" i="5"/>
  <c r="L34" i="5" s="1"/>
  <c r="P34" i="5" s="1"/>
  <c r="X15" i="5"/>
  <c r="L30" i="5" s="1"/>
  <c r="P30" i="5" s="1"/>
  <c r="L37" i="5"/>
  <c r="P37" i="5" s="1"/>
  <c r="L32" i="5"/>
  <c r="P32" i="5" s="1"/>
  <c r="L39" i="5"/>
  <c r="P39" i="5" s="1"/>
  <c r="L31" i="5"/>
  <c r="P31" i="5" s="1"/>
  <c r="AN23" i="1"/>
  <c r="AN17" i="1"/>
  <c r="AQ17" i="1" s="1"/>
  <c r="AN13" i="1"/>
  <c r="AQ13" i="1" s="1"/>
  <c r="AN14" i="1"/>
  <c r="AN22" i="1"/>
  <c r="AN16" i="1"/>
  <c r="AN18" i="1"/>
  <c r="AQ18" i="1" s="1"/>
  <c r="AN12" i="1"/>
  <c r="AN20" i="1"/>
  <c r="AN21" i="1"/>
  <c r="AN15" i="1"/>
  <c r="F57" i="1"/>
  <c r="AD37" i="1" s="1"/>
  <c r="AH37" i="1" s="1"/>
  <c r="I42" i="1" s="1"/>
  <c r="D57" i="1"/>
  <c r="N22" i="5"/>
  <c r="K37" i="5" s="1"/>
  <c r="O37" i="5" s="1"/>
  <c r="N17" i="5"/>
  <c r="K32" i="5" s="1"/>
  <c r="O32" i="5" s="1"/>
  <c r="N19" i="5"/>
  <c r="K34" i="5" s="1"/>
  <c r="O34" i="5" s="1"/>
  <c r="N16" i="5"/>
  <c r="K31" i="5" s="1"/>
  <c r="O31" i="5" s="1"/>
  <c r="N25" i="5"/>
  <c r="K40" i="5" s="1"/>
  <c r="O40" i="5" s="1"/>
  <c r="N18" i="5"/>
  <c r="K33" i="5" s="1"/>
  <c r="O33" i="5" s="1"/>
  <c r="N23" i="5"/>
  <c r="K38" i="5" s="1"/>
  <c r="O38" i="5" s="1"/>
  <c r="N15" i="5"/>
  <c r="K30" i="5" s="1"/>
  <c r="O30" i="5" s="1"/>
  <c r="N21" i="5"/>
  <c r="K36" i="5" s="1"/>
  <c r="O36" i="5" s="1"/>
  <c r="N26" i="5"/>
  <c r="K41" i="5" s="1"/>
  <c r="O41" i="5" s="1"/>
  <c r="N20" i="5"/>
  <c r="K35" i="5" s="1"/>
  <c r="O35" i="5" s="1"/>
  <c r="N24" i="5"/>
  <c r="K39" i="5" s="1"/>
  <c r="O39" i="5" s="1"/>
  <c r="N37" i="1" l="1"/>
  <c r="E45" i="1" s="1"/>
  <c r="AQ14" i="1"/>
  <c r="AQ20" i="1"/>
  <c r="AQ12" i="1"/>
  <c r="AQ21" i="1"/>
  <c r="AP22" i="1"/>
  <c r="AP15" i="1"/>
  <c r="AQ23" i="1"/>
  <c r="AQ15" i="1"/>
  <c r="AQ22" i="1"/>
  <c r="AQ16" i="1"/>
  <c r="AP12" i="1"/>
  <c r="AP16" i="1"/>
  <c r="AP21" i="1"/>
  <c r="AP17" i="1"/>
  <c r="AP23" i="1"/>
  <c r="AP14" i="1"/>
  <c r="AP20" i="1"/>
  <c r="AP13" i="1"/>
  <c r="AP19" i="1"/>
  <c r="AP18" i="1"/>
  <c r="N38" i="1"/>
  <c r="E47" i="1" l="1"/>
  <c r="G47" i="1" s="1"/>
  <c r="D4" i="7" s="1"/>
  <c r="E56" i="1"/>
  <c r="G56" i="1" s="1"/>
  <c r="D13" i="7" s="1"/>
  <c r="E48" i="1"/>
  <c r="G48" i="1" s="1"/>
  <c r="D5" i="7" s="1"/>
  <c r="E46" i="1"/>
  <c r="G46" i="1" s="1"/>
  <c r="D3" i="7" s="1"/>
  <c r="E52" i="1"/>
  <c r="G52" i="1" s="1"/>
  <c r="D9" i="7" s="1"/>
  <c r="E51" i="1"/>
  <c r="G51" i="1" s="1"/>
  <c r="D8" i="7" s="1"/>
  <c r="E49" i="1"/>
  <c r="G49" i="1" s="1"/>
  <c r="D6" i="7" s="1"/>
  <c r="G45" i="1"/>
  <c r="D2" i="7" s="1"/>
  <c r="E50" i="1"/>
  <c r="G50" i="1" s="1"/>
  <c r="D7" i="7" s="1"/>
  <c r="E55" i="1"/>
  <c r="G55" i="1" s="1"/>
  <c r="D12" i="7" s="1"/>
  <c r="E54" i="1"/>
  <c r="G54" i="1" s="1"/>
  <c r="D11" i="7" s="1"/>
  <c r="E53" i="1"/>
  <c r="G53" i="1" s="1"/>
  <c r="D10" i="7" s="1"/>
  <c r="H51" i="1" l="1"/>
  <c r="H54" i="1"/>
  <c r="H55" i="1"/>
  <c r="H52" i="1"/>
  <c r="H50" i="1"/>
  <c r="H46" i="1"/>
  <c r="H45" i="1"/>
  <c r="H56" i="1"/>
  <c r="H53" i="1"/>
  <c r="H49" i="1"/>
  <c r="H48" i="1"/>
  <c r="H47" i="1"/>
  <c r="H57" i="1" l="1"/>
  <c r="M44" i="1" s="1"/>
  <c r="M43" i="1" l="1"/>
  <c r="M45" i="1"/>
</calcChain>
</file>

<file path=xl/sharedStrings.xml><?xml version="1.0" encoding="utf-8"?>
<sst xmlns="http://schemas.openxmlformats.org/spreadsheetml/2006/main" count="436" uniqueCount="218">
  <si>
    <t>Zjednodušená měsíční bilance solární tepelné soustavy</t>
  </si>
  <si>
    <t>Vytápění</t>
  </si>
  <si>
    <t>Bazén</t>
  </si>
  <si>
    <t>Příprava teplé vody</t>
  </si>
  <si>
    <t>Led</t>
  </si>
  <si>
    <t>Úno</t>
  </si>
  <si>
    <t>Bře</t>
  </si>
  <si>
    <t>Dub</t>
  </si>
  <si>
    <t>Kvě</t>
  </si>
  <si>
    <t>Čer</t>
  </si>
  <si>
    <t>Čvc</t>
  </si>
  <si>
    <t>Srp</t>
  </si>
  <si>
    <t>Zář</t>
  </si>
  <si>
    <t>Říj</t>
  </si>
  <si>
    <t>Lis</t>
  </si>
  <si>
    <t>Pro</t>
  </si>
  <si>
    <t>%</t>
  </si>
  <si>
    <t>Specifikace solárního kolektoru a solární soustavy</t>
  </si>
  <si>
    <t>-</t>
  </si>
  <si>
    <t>plochý</t>
  </si>
  <si>
    <t>Buderus SKN 4.0</t>
  </si>
  <si>
    <t>Akce:</t>
  </si>
  <si>
    <t>Adresa:</t>
  </si>
  <si>
    <t>Vypracoval:</t>
  </si>
  <si>
    <t>Datum:</t>
  </si>
  <si>
    <t>°C</t>
  </si>
  <si>
    <t>Výpočetní nástroj v souladu s TNI 73 0302:2014</t>
  </si>
  <si>
    <t>Vypočítat ze zadaných údajů</t>
  </si>
  <si>
    <t>Měsíc</t>
  </si>
  <si>
    <r>
      <rPr>
        <b/>
        <i/>
        <sz val="8"/>
        <color theme="1"/>
        <rFont val="Arial"/>
        <family val="2"/>
        <charset val="238"/>
      </rPr>
      <t>Q</t>
    </r>
    <r>
      <rPr>
        <b/>
        <vertAlign val="subscript"/>
        <sz val="8"/>
        <color theme="1"/>
        <rFont val="Arial"/>
        <family val="2"/>
        <charset val="238"/>
      </rPr>
      <t xml:space="preserve">p,TV </t>
    </r>
    <r>
      <rPr>
        <b/>
        <sz val="8"/>
        <color theme="1"/>
        <rFont val="Arial"/>
        <family val="2"/>
        <charset val="238"/>
      </rPr>
      <t>[kWh/měs]</t>
    </r>
  </si>
  <si>
    <t>Počet osob</t>
  </si>
  <si>
    <t>Potřeba teplé vody</t>
  </si>
  <si>
    <t>Přirážka na ztráty</t>
  </si>
  <si>
    <t>Teplota SV</t>
  </si>
  <si>
    <t>Teplota TV</t>
  </si>
  <si>
    <t>os</t>
  </si>
  <si>
    <t>Tepelná ztráta</t>
  </si>
  <si>
    <t>kW</t>
  </si>
  <si>
    <t>Návrhová vnitřní teplota</t>
  </si>
  <si>
    <t>Návrhová venk. teplota</t>
  </si>
  <si>
    <t>l/os.d</t>
  </si>
  <si>
    <t>Výsledky výpočtu</t>
  </si>
  <si>
    <t>Teplota přívodní vody</t>
  </si>
  <si>
    <t>Korekční součinitel</t>
  </si>
  <si>
    <t>Letní snížení potřeby</t>
  </si>
  <si>
    <t>Plocha bazénu</t>
  </si>
  <si>
    <t>Teplota vzduchu (den)</t>
  </si>
  <si>
    <t>Teplota vody (noc)</t>
  </si>
  <si>
    <t>Teplota vzduchu (noc)</t>
  </si>
  <si>
    <t>Teplota vody (den)</t>
  </si>
  <si>
    <t>Počet návštěvníků</t>
  </si>
  <si>
    <t>os/m</t>
  </si>
  <si>
    <r>
      <t>m</t>
    </r>
    <r>
      <rPr>
        <vertAlign val="superscript"/>
        <sz val="8"/>
        <color theme="1"/>
        <rFont val="Arial"/>
        <family val="2"/>
        <charset val="238"/>
      </rPr>
      <t>2</t>
    </r>
  </si>
  <si>
    <t>Počet kolektorů</t>
  </si>
  <si>
    <t>Srážka z tepelných zisků vlivem tepelných ztrát</t>
  </si>
  <si>
    <t>Azimut kolektorů</t>
  </si>
  <si>
    <t>Sklon kolektorů</t>
  </si>
  <si>
    <t>Příprava teplé vody a vytápění</t>
  </si>
  <si>
    <t>ks</t>
  </si>
  <si>
    <t>Plocha kolektorového pole</t>
  </si>
  <si>
    <t>trubkový</t>
  </si>
  <si>
    <t>Druh:</t>
  </si>
  <si>
    <t>Typ:</t>
  </si>
  <si>
    <t>azimut</t>
  </si>
  <si>
    <t>0°</t>
  </si>
  <si>
    <t>15°</t>
  </si>
  <si>
    <t>30°</t>
  </si>
  <si>
    <t>45°</t>
  </si>
  <si>
    <t>60°</t>
  </si>
  <si>
    <t>75°</t>
  </si>
  <si>
    <t>90°</t>
  </si>
  <si>
    <t>sklon</t>
  </si>
  <si>
    <t>Střední denní teplota v solárních kolektorech</t>
  </si>
  <si>
    <t>Celkem</t>
  </si>
  <si>
    <t xml:space="preserve">   Měrný solární zisk</t>
  </si>
  <si>
    <t xml:space="preserve">   Energetický zisk soustavy</t>
  </si>
  <si>
    <t>MWh/rok</t>
  </si>
  <si>
    <t xml:space="preserve">   Solární pokrytí</t>
  </si>
  <si>
    <r>
      <t>W/m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K</t>
    </r>
  </si>
  <si>
    <r>
      <t>W/m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K</t>
    </r>
    <r>
      <rPr>
        <vertAlign val="superscript"/>
        <sz val="8"/>
        <color theme="1"/>
        <rFont val="Arial"/>
        <family val="2"/>
        <charset val="238"/>
      </rPr>
      <t>2</t>
    </r>
  </si>
  <si>
    <r>
      <t>kWh/m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.rok</t>
    </r>
  </si>
  <si>
    <r>
      <rPr>
        <b/>
        <i/>
        <sz val="8"/>
        <color theme="1"/>
        <rFont val="Arial"/>
        <family val="2"/>
        <charset val="238"/>
      </rPr>
      <t>t</t>
    </r>
    <r>
      <rPr>
        <b/>
        <vertAlign val="subscript"/>
        <sz val="8"/>
        <color theme="1"/>
        <rFont val="Arial"/>
        <family val="2"/>
        <charset val="238"/>
      </rPr>
      <t>es</t>
    </r>
  </si>
  <si>
    <r>
      <rPr>
        <b/>
        <i/>
        <sz val="8"/>
        <color theme="1"/>
        <rFont val="Arial"/>
        <family val="2"/>
        <charset val="238"/>
      </rPr>
      <t>G</t>
    </r>
    <r>
      <rPr>
        <b/>
        <vertAlign val="subscript"/>
        <sz val="8"/>
        <color theme="1"/>
        <rFont val="Arial"/>
        <family val="2"/>
        <charset val="238"/>
      </rPr>
      <t>m</t>
    </r>
  </si>
  <si>
    <r>
      <t>W/m</t>
    </r>
    <r>
      <rPr>
        <b/>
        <vertAlign val="superscript"/>
        <sz val="8"/>
        <color theme="1"/>
        <rFont val="Arial"/>
        <family val="2"/>
        <charset val="238"/>
      </rPr>
      <t>2</t>
    </r>
  </si>
  <si>
    <r>
      <rPr>
        <b/>
        <i/>
        <sz val="8"/>
        <color theme="1"/>
        <rFont val="Arial"/>
        <family val="2"/>
        <charset val="238"/>
      </rPr>
      <t>H</t>
    </r>
    <r>
      <rPr>
        <b/>
        <vertAlign val="subscript"/>
        <sz val="8"/>
        <color theme="1"/>
        <rFont val="Arial"/>
        <family val="2"/>
        <charset val="238"/>
      </rPr>
      <t>T</t>
    </r>
  </si>
  <si>
    <r>
      <rPr>
        <b/>
        <i/>
        <sz val="8"/>
        <color theme="1"/>
        <rFont val="Symbol"/>
        <family val="1"/>
        <charset val="2"/>
      </rPr>
      <t>h</t>
    </r>
    <r>
      <rPr>
        <b/>
        <vertAlign val="subscript"/>
        <sz val="8"/>
        <color theme="1"/>
        <rFont val="Arial"/>
        <family val="2"/>
        <charset val="238"/>
      </rPr>
      <t>k</t>
    </r>
  </si>
  <si>
    <r>
      <rPr>
        <b/>
        <i/>
        <sz val="8"/>
        <color theme="1"/>
        <rFont val="Arial"/>
        <family val="2"/>
        <charset val="238"/>
      </rPr>
      <t>Q</t>
    </r>
    <r>
      <rPr>
        <b/>
        <vertAlign val="subscript"/>
        <sz val="8"/>
        <color theme="1"/>
        <rFont val="Arial"/>
        <family val="2"/>
        <charset val="238"/>
      </rPr>
      <t>p</t>
    </r>
  </si>
  <si>
    <r>
      <rPr>
        <b/>
        <i/>
        <sz val="8"/>
        <color theme="1"/>
        <rFont val="Arial"/>
        <family val="2"/>
        <charset val="238"/>
      </rPr>
      <t>Q</t>
    </r>
    <r>
      <rPr>
        <b/>
        <vertAlign val="subscript"/>
        <sz val="8"/>
        <color theme="1"/>
        <rFont val="Arial"/>
        <family val="2"/>
        <charset val="238"/>
      </rPr>
      <t>k,u</t>
    </r>
  </si>
  <si>
    <r>
      <rPr>
        <b/>
        <i/>
        <sz val="8"/>
        <color theme="1"/>
        <rFont val="Arial"/>
        <family val="2"/>
        <charset val="238"/>
      </rPr>
      <t>Q</t>
    </r>
    <r>
      <rPr>
        <b/>
        <vertAlign val="subscript"/>
        <sz val="8"/>
        <color theme="1"/>
        <rFont val="Arial"/>
        <family val="2"/>
        <charset val="238"/>
      </rPr>
      <t>ssu</t>
    </r>
  </si>
  <si>
    <t>Zásobníkový ohřev bez cirkulace</t>
  </si>
  <si>
    <t>Centrální zásobníkový ohřev s řízenou cirkulací</t>
  </si>
  <si>
    <t>Centrální zásobníkový ohřev s neřízenou cirkulací</t>
  </si>
  <si>
    <t>CZT, příprava TV s meziobjektovými přípojkami, TV, CV</t>
  </si>
  <si>
    <t>Průtokový ohřev</t>
  </si>
  <si>
    <t>Běžný standard</t>
  </si>
  <si>
    <t>Nízkoenergetický standard</t>
  </si>
  <si>
    <t>Pasivní standard</t>
  </si>
  <si>
    <t>Typ bazénu</t>
  </si>
  <si>
    <t>Vnitřní zakrývaný</t>
  </si>
  <si>
    <t>Vnitřní nezakrývaný</t>
  </si>
  <si>
    <t>Vnější zakrývaný</t>
  </si>
  <si>
    <t>Vnější nezakrývaný</t>
  </si>
  <si>
    <t>Úhel sklonu plochy</t>
  </si>
  <si>
    <r>
      <t xml:space="preserve">Teoreticky možná sluneční energie celkového záření </t>
    </r>
    <r>
      <rPr>
        <b/>
        <i/>
        <sz val="9"/>
        <rFont val="Arial"/>
        <family val="2"/>
        <charset val="238"/>
      </rPr>
      <t>H</t>
    </r>
    <r>
      <rPr>
        <b/>
        <vertAlign val="subscript"/>
        <sz val="9"/>
        <rFont val="Arial"/>
        <family val="2"/>
        <charset val="238"/>
      </rPr>
      <t>T,měs</t>
    </r>
    <r>
      <rPr>
        <b/>
        <sz val="9"/>
        <rFont val="Arial"/>
        <family val="2"/>
        <charset val="238"/>
      </rPr>
      <t> [kWh/(m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.měs)] dopadající za den pro charakteristickou oblast město</t>
    </r>
  </si>
  <si>
    <t>b</t>
  </si>
  <si>
    <t>Čvn</t>
  </si>
  <si>
    <r>
      <t xml:space="preserve">Azimutový úhel osluněné plochy </t>
    </r>
    <r>
      <rPr>
        <i/>
        <sz val="9"/>
        <rFont val="Symbol"/>
        <family val="1"/>
        <charset val="2"/>
      </rPr>
      <t>g</t>
    </r>
    <r>
      <rPr>
        <sz val="9"/>
        <rFont val="Arial"/>
        <family val="2"/>
        <charset val="238"/>
      </rPr>
      <t xml:space="preserve"> = </t>
    </r>
    <r>
      <rPr>
        <sz val="9"/>
        <rFont val="Symbol"/>
        <family val="1"/>
        <charset val="2"/>
      </rPr>
      <t>±</t>
    </r>
    <r>
      <rPr>
        <sz val="9"/>
        <rFont val="Arial"/>
        <family val="2"/>
        <charset val="238"/>
      </rPr>
      <t xml:space="preserve"> 0° (orientace na jih)</t>
    </r>
  </si>
  <si>
    <r>
      <t xml:space="preserve">Azimutový úhel osluněné plochy </t>
    </r>
    <r>
      <rPr>
        <i/>
        <sz val="9"/>
        <rFont val="Symbol"/>
        <family val="1"/>
        <charset val="2"/>
      </rPr>
      <t>g</t>
    </r>
    <r>
      <rPr>
        <sz val="9"/>
        <rFont val="Arial"/>
        <family val="2"/>
        <charset val="238"/>
      </rPr>
      <t xml:space="preserve"> = </t>
    </r>
    <r>
      <rPr>
        <sz val="9"/>
        <rFont val="Symbol"/>
        <family val="1"/>
        <charset val="2"/>
      </rPr>
      <t>±</t>
    </r>
    <r>
      <rPr>
        <sz val="9"/>
        <rFont val="Arial"/>
        <family val="2"/>
        <charset val="238"/>
      </rPr>
      <t xml:space="preserve"> 15°</t>
    </r>
  </si>
  <si>
    <r>
      <t xml:space="preserve">Azimutový úhel osluněné plochy </t>
    </r>
    <r>
      <rPr>
        <i/>
        <sz val="9"/>
        <rFont val="Symbol"/>
        <family val="1"/>
        <charset val="2"/>
      </rPr>
      <t>g</t>
    </r>
    <r>
      <rPr>
        <sz val="9"/>
        <rFont val="Arial"/>
        <family val="2"/>
        <charset val="238"/>
      </rPr>
      <t xml:space="preserve"> = </t>
    </r>
    <r>
      <rPr>
        <sz val="9"/>
        <rFont val="Symbol"/>
        <family val="1"/>
        <charset val="2"/>
      </rPr>
      <t>±</t>
    </r>
    <r>
      <rPr>
        <sz val="9"/>
        <rFont val="Arial"/>
        <family val="2"/>
        <charset val="238"/>
      </rPr>
      <t xml:space="preserve"> 30°</t>
    </r>
  </si>
  <si>
    <r>
      <t xml:space="preserve">Azimutový úhel osluněné plochy </t>
    </r>
    <r>
      <rPr>
        <i/>
        <sz val="9"/>
        <rFont val="Symbol"/>
        <family val="1"/>
        <charset val="2"/>
      </rPr>
      <t>g</t>
    </r>
    <r>
      <rPr>
        <sz val="9"/>
        <rFont val="Arial"/>
        <family val="2"/>
        <charset val="238"/>
      </rPr>
      <t xml:space="preserve"> = </t>
    </r>
    <r>
      <rPr>
        <sz val="9"/>
        <rFont val="Symbol"/>
        <family val="1"/>
        <charset val="2"/>
      </rPr>
      <t>±</t>
    </r>
    <r>
      <rPr>
        <sz val="9"/>
        <rFont val="Arial"/>
        <family val="2"/>
        <charset val="238"/>
      </rPr>
      <t xml:space="preserve"> 45°</t>
    </r>
  </si>
  <si>
    <t>zvolený azimut</t>
  </si>
  <si>
    <t>zvolený sklon</t>
  </si>
  <si>
    <r>
      <t xml:space="preserve">Střední hodnota slunečního ozáření </t>
    </r>
    <r>
      <rPr>
        <b/>
        <i/>
        <sz val="9"/>
        <rFont val="Arial"/>
        <family val="2"/>
        <charset val="238"/>
      </rPr>
      <t>G</t>
    </r>
    <r>
      <rPr>
        <b/>
        <vertAlign val="subscript"/>
        <sz val="9"/>
        <rFont val="Arial"/>
        <family val="2"/>
        <charset val="238"/>
      </rPr>
      <t>T,m</t>
    </r>
    <r>
      <rPr>
        <b/>
        <sz val="9"/>
        <rFont val="Arial"/>
        <family val="2"/>
        <charset val="238"/>
      </rPr>
      <t xml:space="preserve"> [W/m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 xml:space="preserve">] </t>
    </r>
  </si>
  <si>
    <t>pro charakteristickou oblast město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</si>
  <si>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</si>
  <si>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</si>
  <si>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</si>
  <si>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</si>
  <si>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</si>
  <si>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</si>
  <si>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</si>
  <si>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</si>
  <si>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</si>
  <si>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</si>
  <si>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</si>
  <si>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</si>
  <si>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rPr>
        <b/>
        <i/>
        <sz val="8"/>
        <color theme="1"/>
        <rFont val="Arial"/>
        <family val="2"/>
        <charset val="238"/>
      </rPr>
      <t>Q</t>
    </r>
    <r>
      <rPr>
        <b/>
        <vertAlign val="subscript"/>
        <sz val="8"/>
        <color theme="1"/>
        <rFont val="Arial"/>
        <family val="2"/>
        <charset val="238"/>
      </rPr>
      <t xml:space="preserve">p,VYT </t>
    </r>
    <r>
      <rPr>
        <b/>
        <sz val="8"/>
        <color theme="1"/>
        <rFont val="Arial"/>
        <family val="2"/>
        <charset val="238"/>
      </rPr>
      <t>[kWh/měs]</t>
    </r>
  </si>
  <si>
    <r>
      <rPr>
        <b/>
        <i/>
        <sz val="8"/>
        <color theme="1"/>
        <rFont val="Arial"/>
        <family val="2"/>
        <charset val="238"/>
      </rPr>
      <t>Q</t>
    </r>
    <r>
      <rPr>
        <b/>
        <vertAlign val="subscript"/>
        <sz val="8"/>
        <color theme="1"/>
        <rFont val="Arial"/>
        <family val="2"/>
        <charset val="238"/>
      </rPr>
      <t xml:space="preserve">p,BAZ </t>
    </r>
    <r>
      <rPr>
        <b/>
        <sz val="8"/>
        <color theme="1"/>
        <rFont val="Arial"/>
        <family val="2"/>
        <charset val="238"/>
      </rPr>
      <t>[kWh/měs]</t>
    </r>
  </si>
  <si>
    <t>tep</t>
  </si>
  <si>
    <t>QTV</t>
  </si>
  <si>
    <t>QVYT</t>
  </si>
  <si>
    <t>QBAZ</t>
  </si>
  <si>
    <t>Výparné teplo vody</t>
  </si>
  <si>
    <t>Iw</t>
  </si>
  <si>
    <t>J/kg</t>
  </si>
  <si>
    <t>Relativní vlhkost vzduchu v době provozu</t>
  </si>
  <si>
    <r>
      <rPr>
        <i/>
        <sz val="10"/>
        <rFont val="Symbol"/>
        <family val="1"/>
        <charset val="2"/>
      </rPr>
      <t>f</t>
    </r>
    <r>
      <rPr>
        <i/>
        <sz val="10"/>
        <rFont val="Arial CE"/>
        <charset val="238"/>
      </rPr>
      <t>v,p</t>
    </r>
  </si>
  <si>
    <t>Relativní vlhkost vzduchu mimo provoz</t>
  </si>
  <si>
    <r>
      <rPr>
        <i/>
        <sz val="10"/>
        <rFont val="Symbol"/>
        <family val="1"/>
        <charset val="2"/>
      </rPr>
      <t>f</t>
    </r>
    <r>
      <rPr>
        <i/>
        <sz val="10"/>
        <rFont val="Arial CE"/>
        <charset val="238"/>
      </rPr>
      <t>v,n</t>
    </r>
  </si>
  <si>
    <t>Součinitel přenosu hmoty pro vnitřní bazény v době provozu</t>
  </si>
  <si>
    <r>
      <rPr>
        <i/>
        <sz val="10"/>
        <rFont val="Symbol"/>
        <family val="1"/>
        <charset val="2"/>
      </rPr>
      <t>b</t>
    </r>
    <r>
      <rPr>
        <i/>
        <sz val="10"/>
        <rFont val="Arial CE"/>
        <charset val="238"/>
      </rPr>
      <t>p</t>
    </r>
  </si>
  <si>
    <t>kg/h.m2Pa</t>
  </si>
  <si>
    <t>Součinitel přenosu hmoty pro vnitřní bazény mimo provoz</t>
  </si>
  <si>
    <r>
      <rPr>
        <i/>
        <sz val="10"/>
        <rFont val="Symbol"/>
        <family val="1"/>
        <charset val="2"/>
      </rPr>
      <t>b</t>
    </r>
    <r>
      <rPr>
        <i/>
        <sz val="10"/>
        <rFont val="Arial CE"/>
        <charset val="238"/>
      </rPr>
      <t>n</t>
    </r>
  </si>
  <si>
    <t>součinitel přestupu tepla mezi okolním prostředím a hladinou bazénu sáláním a prouděním</t>
  </si>
  <si>
    <t>hi</t>
  </si>
  <si>
    <r>
      <t>W/m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K</t>
    </r>
  </si>
  <si>
    <t>he</t>
  </si>
  <si>
    <t>Hodinová kapacita bazénu - vnitřní</t>
  </si>
  <si>
    <t>kb,i</t>
  </si>
  <si>
    <t>os/hod</t>
  </si>
  <si>
    <t>Hodinová kapacita bazénu - venkovní</t>
  </si>
  <si>
    <t>kb,e</t>
  </si>
  <si>
    <t>Měrná potřeba přiváděné čísté vody na návštěvníka</t>
  </si>
  <si>
    <t>VSV,os</t>
  </si>
  <si>
    <t>m2/os</t>
  </si>
  <si>
    <t>tv,p</t>
  </si>
  <si>
    <t>tw,p</t>
  </si>
  <si>
    <t>p"d,w,p</t>
  </si>
  <si>
    <t>p"d,v,p</t>
  </si>
  <si>
    <t>pd,v,p</t>
  </si>
  <si>
    <t>QBV</t>
  </si>
  <si>
    <t>te,s</t>
  </si>
  <si>
    <t>Qbv,p</t>
  </si>
  <si>
    <t>Vnitřní provoz</t>
  </si>
  <si>
    <t>Leden</t>
  </si>
  <si>
    <t>Vnější</t>
  </si>
  <si>
    <t>1)</t>
  </si>
  <si>
    <t>Únor</t>
  </si>
  <si>
    <t>3)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</si>
  <si>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</si>
  <si>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</si>
  <si>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</si>
  <si>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</si>
  <si>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</si>
  <si>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</si>
  <si>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</si>
  <si>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</si>
  <si>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</si>
  <si>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</si>
  <si>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tv,n</t>
  </si>
  <si>
    <t>tw,n</t>
  </si>
  <si>
    <t>p"d,w,n</t>
  </si>
  <si>
    <t>p"d,v,n</t>
  </si>
  <si>
    <t>pd,v,n</t>
  </si>
  <si>
    <t>te,n</t>
  </si>
  <si>
    <t>Qbv,n</t>
  </si>
  <si>
    <t>Vnitřní mimo</t>
  </si>
  <si>
    <t>2)</t>
  </si>
  <si>
    <t>4)</t>
  </si>
  <si>
    <t>Qb,v</t>
  </si>
  <si>
    <t>k</t>
  </si>
  <si>
    <t>Qsv</t>
  </si>
  <si>
    <t>Qb,v,celk</t>
  </si>
  <si>
    <t>Vnitřní</t>
  </si>
  <si>
    <t>osob</t>
  </si>
  <si>
    <t>Relativní venkovní vlhkost (venkovní bazén)</t>
  </si>
  <si>
    <r>
      <rPr>
        <i/>
        <sz val="10"/>
        <rFont val="Symbol"/>
        <family val="1"/>
        <charset val="2"/>
      </rPr>
      <t>f</t>
    </r>
    <r>
      <rPr>
        <i/>
        <sz val="10"/>
        <rFont val="Arial CE"/>
        <charset val="238"/>
      </rPr>
      <t>v,e</t>
    </r>
  </si>
  <si>
    <t>Hmes</t>
  </si>
  <si>
    <t>MWh</t>
  </si>
  <si>
    <r>
      <t>kWh/m</t>
    </r>
    <r>
      <rPr>
        <b/>
        <vertAlign val="superscript"/>
        <sz val="8"/>
        <color theme="1"/>
        <rFont val="Arial"/>
        <family val="2"/>
        <charset val="238"/>
      </rPr>
      <t>2</t>
    </r>
  </si>
  <si>
    <t>QTV+QVYT</t>
  </si>
  <si>
    <t>Bazén venkovní, ohřev bazénové vody</t>
  </si>
  <si>
    <t>Bazén vnitřní, ohřev bazénové vody</t>
  </si>
  <si>
    <r>
      <t xml:space="preserve">Koeficient ztráty </t>
    </r>
    <r>
      <rPr>
        <i/>
        <sz val="8"/>
        <color theme="1"/>
        <rFont val="Arial"/>
        <family val="2"/>
        <charset val="238"/>
      </rPr>
      <t>a</t>
    </r>
    <r>
      <rPr>
        <vertAlign val="subscript"/>
        <sz val="8"/>
        <color theme="1"/>
        <rFont val="Arial"/>
        <family val="2"/>
        <charset val="238"/>
      </rPr>
      <t>1</t>
    </r>
  </si>
  <si>
    <r>
      <t xml:space="preserve">Koeficient ztráty </t>
    </r>
    <r>
      <rPr>
        <i/>
        <sz val="8"/>
        <color theme="1"/>
        <rFont val="Arial"/>
        <family val="2"/>
        <charset val="238"/>
      </rPr>
      <t>a</t>
    </r>
    <r>
      <rPr>
        <vertAlign val="subscript"/>
        <sz val="8"/>
        <color theme="1"/>
        <rFont val="Arial"/>
        <family val="2"/>
        <charset val="238"/>
      </rPr>
      <t>2</t>
    </r>
  </si>
  <si>
    <r>
      <t xml:space="preserve">Optická účinnost </t>
    </r>
    <r>
      <rPr>
        <i/>
        <sz val="8"/>
        <color theme="1"/>
        <rFont val="Symbol"/>
        <family val="1"/>
        <charset val="2"/>
      </rPr>
      <t>h</t>
    </r>
    <r>
      <rPr>
        <vertAlign val="subscript"/>
        <sz val="8"/>
        <color theme="1"/>
        <rFont val="Arial"/>
        <family val="2"/>
        <charset val="238"/>
      </rPr>
      <t>0</t>
    </r>
  </si>
  <si>
    <t>Plocha apertury kolektoru</t>
  </si>
  <si>
    <t>Provozní doba</t>
  </si>
  <si>
    <t>h/den</t>
  </si>
  <si>
    <t>Potřeba</t>
  </si>
  <si>
    <t>Zisk</t>
  </si>
  <si>
    <t>Měsíční údaje jsou známé</t>
  </si>
  <si>
    <t>Vztažná plocha kolektoru</t>
  </si>
  <si>
    <t>Autoři: T. Matuška, B. Šourek, ČVUT, 2015</t>
  </si>
  <si>
    <t>splněno</t>
  </si>
  <si>
    <t>dolni</t>
  </si>
  <si>
    <t>horni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</si>
</sst>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800]dddd\,\ mmmm\ dd\,\ yyyy"/>
    <numFmt numFmtId="166" formatCode="0.000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bscript"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b/>
      <i/>
      <sz val="8"/>
      <color theme="1"/>
      <name val="Symbol"/>
      <family val="1"/>
      <charset val="2"/>
    </font>
    <font>
      <sz val="10"/>
      <name val="Arial CE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vertAlign val="subscript"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i/>
      <sz val="9"/>
      <name val="Symbol"/>
      <family val="1"/>
      <charset val="2"/>
    </font>
    <font>
      <sz val="9"/>
      <name val="Arial"/>
      <family val="2"/>
      <charset val="238"/>
    </font>
    <font>
      <i/>
      <sz val="9"/>
      <name val="Symbol"/>
      <family val="1"/>
      <charset val="2"/>
    </font>
    <font>
      <sz val="9"/>
      <name val="Symbol"/>
      <family val="1"/>
      <charset val="2"/>
    </font>
    <font>
      <i/>
      <sz val="10"/>
      <name val="Arial CE"/>
      <charset val="238"/>
    </font>
    <font>
      <sz val="10"/>
      <name val="Arial"/>
      <family val="2"/>
      <charset val="238"/>
    </font>
    <font>
      <i/>
      <sz val="10"/>
      <name val="Symbol"/>
      <family val="1"/>
      <charset val="2"/>
    </font>
    <font>
      <vertAlign val="superscript"/>
      <sz val="10"/>
      <name val="Arial"/>
      <family val="2"/>
      <charset val="238"/>
    </font>
    <font>
      <i/>
      <sz val="10"/>
      <name val="Arial CE"/>
      <family val="2"/>
      <charset val="238"/>
    </font>
    <font>
      <b/>
      <sz val="10"/>
      <name val="Arial CE"/>
    </font>
    <font>
      <b/>
      <sz val="10"/>
      <name val="Arial CE"/>
      <charset val="238"/>
    </font>
    <font>
      <b/>
      <i/>
      <sz val="10"/>
      <name val="Arial CE"/>
      <charset val="238"/>
    </font>
    <font>
      <vertAlign val="subscript"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Symbol"/>
      <family val="1"/>
      <charset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9">
    <xf numFmtId="0" fontId="0" fillId="0" borderId="0" xfId="0"/>
    <xf numFmtId="0" fontId="10" fillId="0" borderId="0" xfId="1"/>
    <xf numFmtId="1" fontId="10" fillId="0" borderId="0" xfId="1" applyNumberFormat="1"/>
    <xf numFmtId="0" fontId="10" fillId="0" borderId="0" xfId="1" applyProtection="1">
      <protection hidden="1"/>
    </xf>
    <xf numFmtId="0" fontId="10" fillId="0" borderId="0" xfId="1" applyAlignment="1" applyProtection="1">
      <alignment horizontal="center"/>
      <protection hidden="1"/>
    </xf>
    <xf numFmtId="0" fontId="10" fillId="0" borderId="37" xfId="1" applyFill="1" applyBorder="1" applyProtection="1">
      <protection hidden="1"/>
    </xf>
    <xf numFmtId="0" fontId="19" fillId="0" borderId="38" xfId="1" applyFont="1" applyFill="1" applyBorder="1" applyAlignment="1" applyProtection="1">
      <alignment horizontal="center"/>
      <protection hidden="1"/>
    </xf>
    <xf numFmtId="0" fontId="10" fillId="0" borderId="38" xfId="1" applyFill="1" applyBorder="1" applyAlignment="1" applyProtection="1">
      <alignment horizontal="center"/>
      <protection hidden="1"/>
    </xf>
    <xf numFmtId="1" fontId="10" fillId="0" borderId="38" xfId="1" applyNumberFormat="1" applyFill="1" applyBorder="1" applyAlignment="1" applyProtection="1">
      <alignment horizontal="center"/>
      <protection hidden="1"/>
    </xf>
    <xf numFmtId="1" fontId="10" fillId="0" borderId="39" xfId="1" applyNumberFormat="1" applyFill="1" applyBorder="1" applyAlignment="1" applyProtection="1">
      <alignment horizontal="center"/>
      <protection hidden="1"/>
    </xf>
    <xf numFmtId="164" fontId="10" fillId="0" borderId="38" xfId="1" applyNumberFormat="1" applyFill="1" applyBorder="1" applyAlignment="1" applyProtection="1">
      <alignment horizontal="center"/>
      <protection hidden="1"/>
    </xf>
    <xf numFmtId="1" fontId="10" fillId="0" borderId="0" xfId="1" applyNumberFormat="1" applyAlignment="1">
      <alignment horizontal="center"/>
    </xf>
    <xf numFmtId="0" fontId="10" fillId="0" borderId="0" xfId="1" applyAlignment="1" applyProtection="1">
      <alignment horizontal="right"/>
      <protection hidden="1"/>
    </xf>
    <xf numFmtId="0" fontId="10" fillId="0" borderId="19" xfId="1" applyFill="1" applyBorder="1" applyProtection="1">
      <protection hidden="1"/>
    </xf>
    <xf numFmtId="0" fontId="19" fillId="0" borderId="13" xfId="1" applyFont="1" applyFill="1" applyBorder="1" applyAlignment="1" applyProtection="1">
      <alignment horizontal="center"/>
      <protection hidden="1"/>
    </xf>
    <xf numFmtId="0" fontId="10" fillId="0" borderId="13" xfId="1" applyFill="1" applyBorder="1" applyAlignment="1" applyProtection="1">
      <alignment horizontal="center"/>
      <protection hidden="1"/>
    </xf>
    <xf numFmtId="1" fontId="10" fillId="0" borderId="13" xfId="1" applyNumberFormat="1" applyFill="1" applyBorder="1" applyAlignment="1" applyProtection="1">
      <alignment horizontal="center"/>
      <protection hidden="1"/>
    </xf>
    <xf numFmtId="1" fontId="10" fillId="0" borderId="40" xfId="1" applyNumberFormat="1" applyFill="1" applyBorder="1" applyAlignment="1" applyProtection="1">
      <alignment horizontal="center"/>
      <protection hidden="1"/>
    </xf>
    <xf numFmtId="1" fontId="10" fillId="0" borderId="0" xfId="1" applyNumberFormat="1" applyFill="1" applyBorder="1" applyAlignment="1" applyProtection="1">
      <alignment horizontal="right"/>
      <protection hidden="1"/>
    </xf>
    <xf numFmtId="164" fontId="10" fillId="0" borderId="13" xfId="1" applyNumberFormat="1" applyFill="1" applyBorder="1" applyAlignment="1" applyProtection="1">
      <alignment horizontal="center"/>
      <protection hidden="1"/>
    </xf>
    <xf numFmtId="0" fontId="10" fillId="0" borderId="0" xfId="1" applyFill="1" applyBorder="1" applyAlignment="1" applyProtection="1">
      <alignment horizontal="right"/>
      <protection hidden="1"/>
    </xf>
    <xf numFmtId="0" fontId="10" fillId="0" borderId="0" xfId="1" applyFill="1" applyBorder="1" applyAlignment="1">
      <alignment horizontal="center" vertical="center"/>
    </xf>
    <xf numFmtId="0" fontId="10" fillId="0" borderId="0" xfId="1" applyFill="1" applyBorder="1"/>
    <xf numFmtId="0" fontId="10" fillId="0" borderId="41" xfId="1" applyFill="1" applyBorder="1" applyProtection="1">
      <protection hidden="1"/>
    </xf>
    <xf numFmtId="0" fontId="19" fillId="0" borderId="18" xfId="1" applyFont="1" applyFill="1" applyBorder="1" applyAlignment="1" applyProtection="1">
      <alignment horizontal="center"/>
      <protection hidden="1"/>
    </xf>
    <xf numFmtId="0" fontId="10" fillId="0" borderId="18" xfId="1" applyFill="1" applyBorder="1" applyAlignment="1" applyProtection="1">
      <alignment horizontal="center"/>
      <protection hidden="1"/>
    </xf>
    <xf numFmtId="1" fontId="10" fillId="0" borderId="18" xfId="1" applyNumberFormat="1" applyFill="1" applyBorder="1" applyAlignment="1" applyProtection="1">
      <alignment horizontal="center"/>
      <protection hidden="1"/>
    </xf>
    <xf numFmtId="1" fontId="10" fillId="0" borderId="42" xfId="1" applyNumberFormat="1" applyFill="1" applyBorder="1" applyAlignment="1" applyProtection="1">
      <alignment horizontal="center"/>
      <protection hidden="1"/>
    </xf>
    <xf numFmtId="164" fontId="10" fillId="0" borderId="18" xfId="1" applyNumberFormat="1" applyFill="1" applyBorder="1" applyAlignment="1" applyProtection="1">
      <alignment horizontal="center"/>
      <protection hidden="1"/>
    </xf>
    <xf numFmtId="1" fontId="10" fillId="0" borderId="0" xfId="1" applyNumberFormat="1" applyAlignment="1" applyProtection="1">
      <alignment horizontal="center"/>
      <protection hidden="1"/>
    </xf>
    <xf numFmtId="164" fontId="10" fillId="0" borderId="38" xfId="1" applyNumberFormat="1" applyFill="1" applyBorder="1" applyProtection="1">
      <protection hidden="1"/>
    </xf>
    <xf numFmtId="164" fontId="10" fillId="0" borderId="13" xfId="1" applyNumberFormat="1" applyFill="1" applyBorder="1" applyProtection="1">
      <protection hidden="1"/>
    </xf>
    <xf numFmtId="1" fontId="10" fillId="0" borderId="0" xfId="1" applyNumberFormat="1" applyFill="1" applyBorder="1" applyAlignment="1" applyProtection="1">
      <alignment horizontal="center"/>
      <protection hidden="1"/>
    </xf>
    <xf numFmtId="0" fontId="10" fillId="0" borderId="0" xfId="1" applyFill="1"/>
    <xf numFmtId="0" fontId="10" fillId="0" borderId="0" xfId="1" applyFill="1" applyBorder="1" applyProtection="1">
      <protection hidden="1"/>
    </xf>
    <xf numFmtId="164" fontId="10" fillId="0" borderId="18" xfId="1" applyNumberFormat="1" applyFill="1" applyBorder="1" applyProtection="1">
      <protection hidden="1"/>
    </xf>
    <xf numFmtId="0" fontId="23" fillId="0" borderId="13" xfId="1" applyFont="1" applyFill="1" applyBorder="1" applyAlignment="1" applyProtection="1">
      <alignment horizontal="center"/>
      <protection hidden="1"/>
    </xf>
    <xf numFmtId="0" fontId="10" fillId="0" borderId="13" xfId="1" applyBorder="1" applyProtection="1">
      <protection hidden="1"/>
    </xf>
    <xf numFmtId="0" fontId="10" fillId="0" borderId="13" xfId="1" applyFill="1" applyBorder="1" applyProtection="1">
      <protection hidden="1"/>
    </xf>
    <xf numFmtId="2" fontId="10" fillId="0" borderId="0" xfId="1" applyNumberFormat="1"/>
    <xf numFmtId="1" fontId="10" fillId="0" borderId="13" xfId="1" applyNumberFormat="1" applyBorder="1" applyProtection="1">
      <protection hidden="1"/>
    </xf>
    <xf numFmtId="1" fontId="10" fillId="0" borderId="13" xfId="1" applyNumberFormat="1" applyFill="1" applyBorder="1" applyProtection="1">
      <protection hidden="1"/>
    </xf>
    <xf numFmtId="0" fontId="10" fillId="0" borderId="18" xfId="1" applyBorder="1" applyProtection="1">
      <protection hidden="1"/>
    </xf>
    <xf numFmtId="1" fontId="10" fillId="0" borderId="18" xfId="1" applyNumberFormat="1" applyBorder="1" applyProtection="1">
      <protection hidden="1"/>
    </xf>
    <xf numFmtId="1" fontId="10" fillId="0" borderId="18" xfId="1" applyNumberFormat="1" applyFill="1" applyBorder="1" applyProtection="1">
      <protection hidden="1"/>
    </xf>
    <xf numFmtId="1" fontId="10" fillId="0" borderId="0" xfId="1" applyNumberFormat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10" fillId="0" borderId="40" xfId="1" applyFill="1" applyBorder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0" fontId="3" fillId="3" borderId="6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1" fillId="3" borderId="5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Protection="1">
      <protection hidden="1"/>
    </xf>
    <xf numFmtId="0" fontId="1" fillId="3" borderId="5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3" borderId="5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3" fillId="3" borderId="13" xfId="0" applyFont="1" applyFill="1" applyBorder="1" applyProtection="1">
      <protection hidden="1"/>
    </xf>
    <xf numFmtId="0" fontId="3" fillId="3" borderId="7" xfId="0" applyFont="1" applyFill="1" applyBorder="1" applyProtection="1">
      <protection hidden="1"/>
    </xf>
    <xf numFmtId="0" fontId="3" fillId="3" borderId="8" xfId="0" applyFont="1" applyFill="1" applyBorder="1" applyProtection="1">
      <protection hidden="1"/>
    </xf>
    <xf numFmtId="0" fontId="3" fillId="3" borderId="9" xfId="0" applyFont="1" applyFill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3" borderId="13" xfId="0" applyNumberFormat="1" applyFont="1" applyFill="1" applyBorder="1" applyProtection="1"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0" fontId="1" fillId="0" borderId="9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4" fillId="3" borderId="16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Protection="1">
      <protection hidden="1"/>
    </xf>
    <xf numFmtId="0" fontId="4" fillId="3" borderId="17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1" fontId="3" fillId="3" borderId="13" xfId="0" applyNumberFormat="1" applyFont="1" applyFill="1" applyBorder="1" applyAlignment="1" applyProtection="1">
      <alignment horizontal="center" vertical="center"/>
      <protection hidden="1"/>
    </xf>
    <xf numFmtId="2" fontId="3" fillId="3" borderId="13" xfId="0" applyNumberFormat="1" applyFont="1" applyFill="1" applyBorder="1" applyAlignment="1" applyProtection="1">
      <alignment horizontal="center" vertical="center"/>
      <protection hidden="1"/>
    </xf>
    <xf numFmtId="1" fontId="3" fillId="3" borderId="16" xfId="0" applyNumberFormat="1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vertical="center"/>
      <protection hidden="1"/>
    </xf>
    <xf numFmtId="1" fontId="4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64" fontId="3" fillId="3" borderId="13" xfId="0" applyNumberFormat="1" applyFont="1" applyFill="1" applyBorder="1" applyAlignment="1" applyProtection="1">
      <alignment horizontal="center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164" fontId="3" fillId="3" borderId="13" xfId="0" applyNumberFormat="1" applyFont="1" applyFill="1" applyBorder="1" applyAlignment="1" applyProtection="1">
      <alignment vertical="center"/>
      <protection hidden="1"/>
    </xf>
    <xf numFmtId="2" fontId="3" fillId="5" borderId="16" xfId="0" applyNumberFormat="1" applyFont="1" applyFill="1" applyBorder="1" applyAlignment="1" applyProtection="1">
      <alignment vertical="center"/>
      <protection locked="0"/>
    </xf>
    <xf numFmtId="2" fontId="3" fillId="3" borderId="13" xfId="0" applyNumberFormat="1" applyFont="1" applyFill="1" applyBorder="1" applyProtection="1">
      <protection hidden="1"/>
    </xf>
    <xf numFmtId="0" fontId="3" fillId="2" borderId="13" xfId="0" applyNumberFormat="1" applyFont="1" applyFill="1" applyBorder="1" applyProtection="1">
      <protection locked="0"/>
    </xf>
    <xf numFmtId="164" fontId="3" fillId="3" borderId="18" xfId="0" applyNumberFormat="1" applyFont="1" applyFill="1" applyBorder="1" applyProtection="1">
      <protection hidden="1"/>
    </xf>
    <xf numFmtId="166" fontId="3" fillId="0" borderId="0" xfId="0" applyNumberFormat="1" applyFont="1" applyProtection="1">
      <protection hidden="1"/>
    </xf>
    <xf numFmtId="0" fontId="10" fillId="0" borderId="0" xfId="1" applyProtection="1">
      <protection locked="0" hidden="1"/>
    </xf>
    <xf numFmtId="1" fontId="10" fillId="0" borderId="0" xfId="1" applyNumberFormat="1" applyProtection="1">
      <protection locked="0" hidden="1"/>
    </xf>
    <xf numFmtId="0" fontId="10" fillId="0" borderId="0" xfId="1" applyFill="1" applyBorder="1" applyAlignment="1" applyProtection="1">
      <alignment horizontal="center" vertical="center"/>
      <protection locked="0" hidden="1"/>
    </xf>
    <xf numFmtId="0" fontId="10" fillId="0" borderId="0" xfId="1" applyFill="1" applyBorder="1" applyProtection="1">
      <protection locked="0" hidden="1"/>
    </xf>
    <xf numFmtId="0" fontId="19" fillId="0" borderId="0" xfId="1" applyFont="1" applyFill="1" applyBorder="1" applyAlignment="1" applyProtection="1">
      <alignment vertical="center"/>
      <protection locked="0" hidden="1"/>
    </xf>
    <xf numFmtId="0" fontId="10" fillId="0" borderId="0" xfId="1" applyFill="1" applyBorder="1" applyAlignment="1" applyProtection="1">
      <alignment vertical="center"/>
      <protection locked="0" hidden="1"/>
    </xf>
    <xf numFmtId="1" fontId="10" fillId="0" borderId="0" xfId="1" applyNumberFormat="1" applyFill="1" applyBorder="1" applyAlignment="1" applyProtection="1">
      <alignment horizontal="center"/>
      <protection locked="0" hidden="1"/>
    </xf>
    <xf numFmtId="0" fontId="24" fillId="0" borderId="0" xfId="1" applyFont="1" applyFill="1" applyBorder="1" applyProtection="1">
      <protection locked="0" hidden="1"/>
    </xf>
    <xf numFmtId="0" fontId="20" fillId="0" borderId="0" xfId="1" applyFont="1" applyFill="1" applyBorder="1" applyAlignment="1" applyProtection="1">
      <alignment vertical="center"/>
      <protection locked="0" hidden="1"/>
    </xf>
    <xf numFmtId="1" fontId="10" fillId="0" borderId="0" xfId="1" applyNumberFormat="1" applyBorder="1" applyAlignment="1" applyProtection="1">
      <alignment horizontal="center" vertical="center"/>
      <protection locked="0" hidden="1"/>
    </xf>
    <xf numFmtId="2" fontId="10" fillId="0" borderId="0" xfId="1" applyNumberFormat="1" applyProtection="1">
      <protection locked="0" hidden="1"/>
    </xf>
    <xf numFmtId="0" fontId="25" fillId="0" borderId="0" xfId="1" applyFont="1" applyFill="1" applyBorder="1" applyAlignment="1" applyProtection="1">
      <alignment horizontal="center" vertical="center"/>
      <protection locked="0" hidden="1"/>
    </xf>
    <xf numFmtId="0" fontId="26" fillId="0" borderId="0" xfId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1" fillId="0" borderId="23" xfId="1" applyFont="1" applyBorder="1" applyAlignment="1" applyProtection="1">
      <alignment horizontal="center" vertical="center" wrapText="1"/>
      <protection hidden="1"/>
    </xf>
    <xf numFmtId="0" fontId="15" fillId="0" borderId="27" xfId="1" applyFont="1" applyBorder="1" applyAlignment="1" applyProtection="1">
      <alignment horizontal="center" vertical="center" wrapText="1"/>
      <protection hidden="1"/>
    </xf>
    <xf numFmtId="0" fontId="16" fillId="0" borderId="28" xfId="1" applyFont="1" applyBorder="1" applyAlignment="1" applyProtection="1">
      <alignment horizontal="center" vertical="center" wrapText="1"/>
      <protection hidden="1"/>
    </xf>
    <xf numFmtId="0" fontId="16" fillId="0" borderId="29" xfId="1" applyFont="1" applyBorder="1" applyAlignment="1" applyProtection="1">
      <alignment horizontal="center" vertical="center" wrapText="1"/>
      <protection hidden="1"/>
    </xf>
    <xf numFmtId="0" fontId="16" fillId="0" borderId="31" xfId="1" applyFont="1" applyBorder="1" applyAlignment="1" applyProtection="1">
      <alignment horizontal="center" vertical="center" wrapText="1"/>
      <protection hidden="1"/>
    </xf>
    <xf numFmtId="0" fontId="16" fillId="0" borderId="9" xfId="1" applyFont="1" applyBorder="1" applyAlignment="1" applyProtection="1">
      <alignment horizontal="center" vertical="center" wrapText="1"/>
      <protection hidden="1"/>
    </xf>
    <xf numFmtId="0" fontId="16" fillId="0" borderId="32" xfId="1" applyFont="1" applyBorder="1" applyAlignment="1" applyProtection="1">
      <alignment horizontal="center" vertical="center" wrapText="1"/>
      <protection hidden="1"/>
    </xf>
    <xf numFmtId="0" fontId="16" fillId="0" borderId="27" xfId="1" applyFont="1" applyBorder="1" applyAlignment="1" applyProtection="1">
      <alignment horizontal="center" vertical="center" wrapText="1"/>
      <protection hidden="1"/>
    </xf>
    <xf numFmtId="1" fontId="10" fillId="0" borderId="0" xfId="1" applyNumberFormat="1" applyProtection="1">
      <protection hidden="1"/>
    </xf>
    <xf numFmtId="0" fontId="15" fillId="0" borderId="13" xfId="1" applyFont="1" applyBorder="1" applyAlignment="1" applyProtection="1">
      <alignment horizontal="center" vertical="center" wrapText="1"/>
      <protection hidden="1"/>
    </xf>
    <xf numFmtId="0" fontId="16" fillId="0" borderId="13" xfId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5" fillId="0" borderId="36" xfId="1" applyFont="1" applyBorder="1" applyAlignment="1" applyProtection="1">
      <alignment horizontal="center" vertical="center" wrapText="1"/>
      <protection hidden="1"/>
    </xf>
    <xf numFmtId="0" fontId="10" fillId="0" borderId="27" xfId="1" applyBorder="1" applyAlignment="1" applyProtection="1">
      <alignment wrapText="1"/>
      <protection hidden="1"/>
    </xf>
    <xf numFmtId="0" fontId="11" fillId="0" borderId="28" xfId="1" applyFont="1" applyBorder="1" applyAlignment="1" applyProtection="1">
      <alignment horizontal="center" vertical="center" wrapText="1"/>
      <protection hidden="1"/>
    </xf>
    <xf numFmtId="0" fontId="11" fillId="0" borderId="29" xfId="1" applyFont="1" applyBorder="1" applyAlignment="1" applyProtection="1">
      <alignment horizontal="center" vertical="center" wrapText="1"/>
      <protection hidden="1"/>
    </xf>
    <xf numFmtId="0" fontId="16" fillId="0" borderId="0" xfId="1" applyFont="1" applyBorder="1" applyAlignment="1" applyProtection="1">
      <alignment horizontal="center" vertical="center" wrapText="1"/>
      <protection hidden="1"/>
    </xf>
    <xf numFmtId="0" fontId="10" fillId="0" borderId="37" xfId="1" applyBorder="1" applyProtection="1">
      <protection hidden="1"/>
    </xf>
    <xf numFmtId="0" fontId="19" fillId="0" borderId="38" xfId="1" applyFont="1" applyBorder="1" applyAlignment="1" applyProtection="1">
      <alignment vertical="center"/>
      <protection hidden="1"/>
    </xf>
    <xf numFmtId="11" fontId="10" fillId="0" borderId="38" xfId="1" applyNumberFormat="1" applyFill="1" applyBorder="1" applyAlignment="1" applyProtection="1">
      <alignment vertical="center"/>
      <protection hidden="1"/>
    </xf>
    <xf numFmtId="0" fontId="20" fillId="0" borderId="39" xfId="1" applyFont="1" applyBorder="1" applyAlignment="1" applyProtection="1">
      <alignment vertical="center"/>
      <protection hidden="1"/>
    </xf>
    <xf numFmtId="0" fontId="10" fillId="0" borderId="0" xfId="1" applyBorder="1" applyProtection="1">
      <protection hidden="1"/>
    </xf>
    <xf numFmtId="0" fontId="10" fillId="0" borderId="19" xfId="1" applyBorder="1" applyProtection="1">
      <protection hidden="1"/>
    </xf>
    <xf numFmtId="0" fontId="19" fillId="0" borderId="13" xfId="1" applyFont="1" applyBorder="1" applyAlignment="1" applyProtection="1">
      <alignment vertical="center"/>
      <protection hidden="1"/>
    </xf>
    <xf numFmtId="0" fontId="10" fillId="0" borderId="13" xfId="1" applyFill="1" applyBorder="1" applyAlignment="1" applyProtection="1">
      <alignment vertical="center"/>
      <protection hidden="1"/>
    </xf>
    <xf numFmtId="0" fontId="20" fillId="0" borderId="40" xfId="1" applyFont="1" applyBorder="1" applyAlignment="1" applyProtection="1">
      <alignment vertical="center"/>
      <protection hidden="1"/>
    </xf>
    <xf numFmtId="0" fontId="10" fillId="0" borderId="38" xfId="1" applyFont="1" applyBorder="1" applyAlignment="1" applyProtection="1">
      <alignment horizontal="right"/>
      <protection hidden="1"/>
    </xf>
    <xf numFmtId="11" fontId="10" fillId="0" borderId="13" xfId="1" applyNumberFormat="1" applyFill="1" applyBorder="1" applyProtection="1">
      <protection hidden="1"/>
    </xf>
    <xf numFmtId="0" fontId="10" fillId="0" borderId="19" xfId="1" applyFill="1" applyBorder="1" applyAlignment="1" applyProtection="1">
      <alignment wrapText="1"/>
      <protection hidden="1"/>
    </xf>
    <xf numFmtId="1" fontId="10" fillId="0" borderId="13" xfId="1" applyNumberFormat="1" applyFill="1" applyBorder="1" applyAlignment="1" applyProtection="1">
      <alignment vertical="center"/>
      <protection hidden="1"/>
    </xf>
    <xf numFmtId="0" fontId="10" fillId="0" borderId="19" xfId="1" applyFill="1" applyBorder="1" applyAlignment="1" applyProtection="1">
      <alignment horizontal="left" vertical="center"/>
      <protection hidden="1"/>
    </xf>
    <xf numFmtId="0" fontId="10" fillId="0" borderId="13" xfId="1" applyFill="1" applyBorder="1" applyAlignment="1" applyProtection="1">
      <alignment horizontal="center" vertical="center"/>
      <protection hidden="1"/>
    </xf>
    <xf numFmtId="0" fontId="20" fillId="0" borderId="40" xfId="1" applyFont="1" applyFill="1" applyBorder="1" applyAlignment="1" applyProtection="1">
      <alignment vertical="center"/>
      <protection hidden="1"/>
    </xf>
    <xf numFmtId="0" fontId="10" fillId="0" borderId="41" xfId="1" applyFill="1" applyBorder="1" applyAlignment="1" applyProtection="1">
      <alignment horizontal="left" vertical="center"/>
      <protection hidden="1"/>
    </xf>
    <xf numFmtId="0" fontId="10" fillId="0" borderId="18" xfId="1" applyFill="1" applyBorder="1" applyAlignment="1" applyProtection="1">
      <alignment horizontal="center" vertical="center"/>
      <protection hidden="1"/>
    </xf>
    <xf numFmtId="0" fontId="10" fillId="0" borderId="18" xfId="1" applyFill="1" applyBorder="1" applyProtection="1">
      <protection hidden="1"/>
    </xf>
    <xf numFmtId="0" fontId="20" fillId="0" borderId="42" xfId="1" applyFont="1" applyFill="1" applyBorder="1" applyAlignment="1" applyProtection="1">
      <alignment vertical="center"/>
      <protection hidden="1"/>
    </xf>
    <xf numFmtId="0" fontId="10" fillId="0" borderId="0" xfId="1" applyFill="1" applyBorder="1" applyAlignment="1" applyProtection="1">
      <alignment horizontal="left" vertical="center"/>
      <protection hidden="1"/>
    </xf>
    <xf numFmtId="0" fontId="10" fillId="0" borderId="0" xfId="1" applyFill="1" applyBorder="1" applyAlignment="1" applyProtection="1">
      <alignment horizontal="center" vertical="center"/>
      <protection hidden="1"/>
    </xf>
    <xf numFmtId="11" fontId="10" fillId="0" borderId="0" xfId="1" applyNumberFormat="1" applyFill="1" applyBorder="1" applyProtection="1">
      <protection hidden="1"/>
    </xf>
    <xf numFmtId="164" fontId="10" fillId="0" borderId="38" xfId="1" applyNumberFormat="1" applyFont="1" applyBorder="1" applyAlignment="1" applyProtection="1">
      <alignment horizontal="right"/>
      <protection hidden="1"/>
    </xf>
    <xf numFmtId="164" fontId="10" fillId="0" borderId="13" xfId="1" applyNumberFormat="1" applyBorder="1" applyProtection="1">
      <protection hidden="1"/>
    </xf>
    <xf numFmtId="0" fontId="19" fillId="0" borderId="0" xfId="1" applyFont="1" applyFill="1" applyBorder="1" applyAlignment="1" applyProtection="1">
      <alignment vertical="center"/>
      <protection hidden="1"/>
    </xf>
    <xf numFmtId="0" fontId="10" fillId="0" borderId="0" xfId="1" applyFill="1" applyBorder="1" applyAlignment="1" applyProtection="1">
      <alignment vertical="center"/>
      <protection hidden="1"/>
    </xf>
    <xf numFmtId="164" fontId="10" fillId="0" borderId="18" xfId="1" applyNumberFormat="1" applyBorder="1" applyProtection="1">
      <protection hidden="1"/>
    </xf>
    <xf numFmtId="1" fontId="10" fillId="0" borderId="0" xfId="1" applyNumberFormat="1" applyFill="1" applyBorder="1" applyAlignment="1" applyProtection="1">
      <alignment horizontal="center" vertical="center"/>
      <protection hidden="1"/>
    </xf>
    <xf numFmtId="1" fontId="10" fillId="0" borderId="0" xfId="1" applyNumberFormat="1" applyFill="1" applyBorder="1" applyProtection="1">
      <protection hidden="1"/>
    </xf>
    <xf numFmtId="1" fontId="10" fillId="0" borderId="37" xfId="1" applyNumberFormat="1" applyFill="1" applyBorder="1" applyAlignment="1" applyProtection="1">
      <alignment horizontal="center"/>
      <protection hidden="1"/>
    </xf>
    <xf numFmtId="1" fontId="10" fillId="0" borderId="38" xfId="1" applyNumberFormat="1" applyFill="1" applyBorder="1" applyProtection="1">
      <protection hidden="1"/>
    </xf>
    <xf numFmtId="1" fontId="10" fillId="0" borderId="38" xfId="1" applyNumberFormat="1" applyFill="1" applyBorder="1" applyAlignment="1" applyProtection="1">
      <alignment horizontal="center" vertical="center"/>
      <protection hidden="1"/>
    </xf>
    <xf numFmtId="0" fontId="10" fillId="0" borderId="38" xfId="1" applyBorder="1" applyProtection="1">
      <protection hidden="1"/>
    </xf>
    <xf numFmtId="0" fontId="10" fillId="0" borderId="39" xfId="1" applyBorder="1" applyProtection="1">
      <protection hidden="1"/>
    </xf>
    <xf numFmtId="2" fontId="10" fillId="0" borderId="0" xfId="1" applyNumberFormat="1" applyProtection="1">
      <protection hidden="1"/>
    </xf>
    <xf numFmtId="1" fontId="10" fillId="0" borderId="13" xfId="1" applyNumberFormat="1" applyBorder="1" applyAlignment="1" applyProtection="1">
      <alignment horizontal="center"/>
      <protection hidden="1"/>
    </xf>
    <xf numFmtId="1" fontId="10" fillId="0" borderId="40" xfId="1" applyNumberFormat="1" applyBorder="1" applyProtection="1">
      <protection hidden="1"/>
    </xf>
    <xf numFmtId="1" fontId="10" fillId="0" borderId="18" xfId="1" applyNumberFormat="1" applyBorder="1" applyAlignment="1" applyProtection="1">
      <alignment horizontal="center"/>
      <protection hidden="1"/>
    </xf>
    <xf numFmtId="1" fontId="10" fillId="0" borderId="42" xfId="1" applyNumberForma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left" vertical="center"/>
      <protection hidden="1"/>
    </xf>
    <xf numFmtId="0" fontId="2" fillId="3" borderId="22" xfId="0" applyFont="1" applyFill="1" applyBorder="1" applyAlignment="1" applyProtection="1">
      <alignment horizontal="left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hidden="1"/>
    </xf>
    <xf numFmtId="0" fontId="2" fillId="3" borderId="3" xfId="0" applyFont="1" applyFill="1" applyBorder="1" applyAlignment="1" applyProtection="1">
      <alignment horizontal="left" vertical="center"/>
      <protection hidden="1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31" fillId="3" borderId="11" xfId="0" applyFont="1" applyFill="1" applyBorder="1" applyAlignment="1" applyProtection="1">
      <alignment horizontal="right"/>
      <protection hidden="1"/>
    </xf>
    <xf numFmtId="0" fontId="31" fillId="3" borderId="12" xfId="0" applyFont="1" applyFill="1" applyBorder="1" applyAlignment="1" applyProtection="1">
      <alignment horizontal="right"/>
      <protection hidden="1"/>
    </xf>
    <xf numFmtId="0" fontId="30" fillId="3" borderId="10" xfId="0" applyFont="1" applyFill="1" applyBorder="1" applyAlignment="1" applyProtection="1">
      <alignment horizontal="left"/>
      <protection hidden="1"/>
    </xf>
    <xf numFmtId="0" fontId="30" fillId="3" borderId="11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165" fontId="3" fillId="2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24" xfId="1" applyFont="1" applyBorder="1" applyAlignment="1" applyProtection="1">
      <alignment horizontal="center" vertical="center" wrapText="1"/>
      <protection hidden="1"/>
    </xf>
    <xf numFmtId="0" fontId="11" fillId="0" borderId="25" xfId="1" applyFont="1" applyBorder="1" applyAlignment="1" applyProtection="1">
      <alignment horizontal="center" vertical="center" wrapText="1"/>
      <protection hidden="1"/>
    </xf>
    <xf numFmtId="0" fontId="11" fillId="0" borderId="26" xfId="1" applyFont="1" applyBorder="1" applyAlignment="1" applyProtection="1">
      <alignment horizontal="center" vertical="center" wrapText="1"/>
      <protection hidden="1"/>
    </xf>
    <xf numFmtId="0" fontId="16" fillId="0" borderId="30" xfId="1" applyFont="1" applyBorder="1" applyAlignment="1" applyProtection="1">
      <alignment horizontal="center" vertical="center" wrapText="1"/>
      <protection hidden="1"/>
    </xf>
    <xf numFmtId="0" fontId="16" fillId="0" borderId="25" xfId="1" applyFont="1" applyBorder="1" applyAlignment="1" applyProtection="1">
      <alignment horizontal="center" vertical="center" wrapText="1"/>
      <protection hidden="1"/>
    </xf>
    <xf numFmtId="0" fontId="16" fillId="0" borderId="26" xfId="1" applyFont="1" applyBorder="1" applyAlignment="1" applyProtection="1">
      <alignment horizontal="center" vertical="center" wrapText="1"/>
      <protection hidden="1"/>
    </xf>
    <xf numFmtId="0" fontId="11" fillId="0" borderId="33" xfId="1" applyFont="1" applyBorder="1" applyAlignment="1" applyProtection="1">
      <alignment horizontal="center" vertical="center" wrapText="1"/>
      <protection hidden="1"/>
    </xf>
    <xf numFmtId="0" fontId="11" fillId="0" borderId="34" xfId="1" applyFont="1" applyBorder="1" applyAlignment="1" applyProtection="1">
      <alignment horizontal="center" vertical="center" wrapText="1"/>
      <protection hidden="1"/>
    </xf>
    <xf numFmtId="0" fontId="11" fillId="0" borderId="35" xfId="1" applyFont="1" applyBorder="1" applyAlignment="1" applyProtection="1">
      <alignment horizontal="center" vertical="center" wrapText="1"/>
      <protection hidden="1"/>
    </xf>
    <xf numFmtId="0" fontId="11" fillId="0" borderId="7" xfId="1" applyFont="1" applyBorder="1" applyAlignment="1" applyProtection="1">
      <alignment horizontal="center" vertical="center" wrapText="1"/>
      <protection hidden="1"/>
    </xf>
    <xf numFmtId="0" fontId="11" fillId="0" borderId="8" xfId="1" applyFont="1" applyBorder="1" applyAlignment="1" applyProtection="1">
      <alignment horizontal="center" vertical="center" wrapText="1"/>
      <protection hidden="1"/>
    </xf>
    <xf numFmtId="0" fontId="11" fillId="0" borderId="32" xfId="1" applyFont="1" applyBorder="1" applyAlignment="1" applyProtection="1">
      <alignment horizontal="center" vertical="center" wrapText="1"/>
      <protection hidden="1"/>
    </xf>
  </cellXfs>
  <cellStyles count="2">
    <cellStyle name="Normální" xfId="0" builtinId="0"/>
    <cellStyle name="Normální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1763275900478"/>
          <c:y val="7.6990354987812162E-2"/>
          <c:w val="0.84111107882732372"/>
          <c:h val="0.79563772758861473"/>
        </c:manualLayout>
      </c:layout>
      <c:areaChart>
        <c:grouping val="standard"/>
        <c:varyColors val="0"/>
        <c:ser>
          <c:idx val="1"/>
          <c:order val="0"/>
          <c:tx>
            <c:v>   potřeba energie [MWh]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val>
            <c:numRef>
              <c:f>GRAF!$C$2:$C$13</c:f>
              <c:numCache>
                <c:formatCode>0.000</c:formatCode>
                <c:ptCount val="12"/>
                <c:pt idx="0">
                  <c:v>0.3374722</c:v>
                </c:pt>
                <c:pt idx="1">
                  <c:v>0.30481360000000002</c:v>
                </c:pt>
                <c:pt idx="2">
                  <c:v>0.3374722</c:v>
                </c:pt>
                <c:pt idx="3">
                  <c:v>0.32658599999999999</c:v>
                </c:pt>
                <c:pt idx="4">
                  <c:v>0.3374722</c:v>
                </c:pt>
                <c:pt idx="5">
                  <c:v>0.32658599999999999</c:v>
                </c:pt>
                <c:pt idx="6">
                  <c:v>0.25310415000000003</c:v>
                </c:pt>
                <c:pt idx="7">
                  <c:v>0.25310415000000003</c:v>
                </c:pt>
                <c:pt idx="8">
                  <c:v>0.32658599999999999</c:v>
                </c:pt>
                <c:pt idx="9">
                  <c:v>0.3374722</c:v>
                </c:pt>
                <c:pt idx="10">
                  <c:v>0.32658599999999999</c:v>
                </c:pt>
                <c:pt idx="11">
                  <c:v>0.3374722</c:v>
                </c:pt>
              </c:numCache>
            </c:numRef>
          </c:val>
        </c:ser>
        <c:ser>
          <c:idx val="2"/>
          <c:order val="1"/>
          <c:tx>
            <c:v>   solární zisk [MWh]</c:v>
          </c:tx>
          <c:spPr>
            <a:solidFill>
              <a:srgbClr val="FF3300">
                <a:alpha val="47843"/>
              </a:srgbClr>
            </a:solidFill>
            <a:ln>
              <a:noFill/>
            </a:ln>
            <a:effectLst/>
          </c:spPr>
          <c:val>
            <c:numRef>
              <c:f>GRAF!$D$2:$D$13</c:f>
              <c:numCache>
                <c:formatCode>0.000</c:formatCode>
                <c:ptCount val="12"/>
                <c:pt idx="0">
                  <c:v>5.4790357687303975E-2</c:v>
                </c:pt>
                <c:pt idx="1">
                  <c:v>8.6944055297276696E-2</c:v>
                </c:pt>
                <c:pt idx="2">
                  <c:v>0.12981604909566918</c:v>
                </c:pt>
                <c:pt idx="3">
                  <c:v>0.14575111573346236</c:v>
                </c:pt>
                <c:pt idx="4">
                  <c:v>0.15326273204871421</c:v>
                </c:pt>
                <c:pt idx="5">
                  <c:v>0.1376644654137904</c:v>
                </c:pt>
                <c:pt idx="6">
                  <c:v>0.1506569694561983</c:v>
                </c:pt>
                <c:pt idx="7">
                  <c:v>0.1967569500063473</c:v>
                </c:pt>
                <c:pt idx="8">
                  <c:v>0.15768203730723263</c:v>
                </c:pt>
                <c:pt idx="9">
                  <c:v>0.14397642723216089</c:v>
                </c:pt>
                <c:pt idx="10">
                  <c:v>7.9369860971123626E-2</c:v>
                </c:pt>
                <c:pt idx="11">
                  <c:v>4.6675996173812774E-2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685776"/>
        <c:axId val="291687344"/>
      </c:areaChart>
      <c:catAx>
        <c:axId val="291685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687344"/>
        <c:crosses val="autoZero"/>
        <c:auto val="1"/>
        <c:lblAlgn val="ctr"/>
        <c:lblOffset val="100"/>
        <c:noMultiLvlLbl val="0"/>
      </c:catAx>
      <c:valAx>
        <c:axId val="291687344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685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200588856282246E-2"/>
          <c:y val="4.1994739084261178E-2"/>
          <c:w val="0.89999980629727561"/>
          <c:h val="0.11311548381705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" dropStyle="combo" dx="22" fmlaLink="$Q$12" fmlaRange="$Q$10:$Q$11" noThreeD="1" sel="2" val="0"/>
</file>

<file path=xl/ctrlProps/ctrlProp10.xml><?xml version="1.0" encoding="utf-8"?>
<formControlPr xmlns="http://schemas.microsoft.com/office/spreadsheetml/2009/9/main" objectType="Drop" dropLines="4" dropStyle="combo" dx="22" fmlaLink="$AG$31" fmlaRange="$AG$26:$AG$29" noThreeD="1" sel="3" val="0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2" dropStyle="combo" dx="22" fmlaLink="$V$12" fmlaRange="$V$10:$V$11" noThreeD="1" sel="2" val="0"/>
</file>

<file path=xl/ctrlProps/ctrlProp3.xml><?xml version="1.0" encoding="utf-8"?>
<formControlPr xmlns="http://schemas.microsoft.com/office/spreadsheetml/2009/9/main" objectType="Drop" dropLines="2" dropStyle="combo" dx="22" fmlaLink="$AA$12" fmlaRange="$AA$10:$AA$11" noThreeD="1" sel="2" val="0"/>
</file>

<file path=xl/ctrlProps/ctrlProp4.xml><?xml version="1.0" encoding="utf-8"?>
<formControlPr xmlns="http://schemas.microsoft.com/office/spreadsheetml/2009/9/main" objectType="Drop" dropLines="4" dropStyle="combo" dx="22" fmlaLink="$Q$40" fmlaRange="$Q$36:$Q$39" noThreeD="1" sel="3" val="0"/>
</file>

<file path=xl/ctrlProps/ctrlProp5.xml><?xml version="1.0" encoding="utf-8"?>
<formControlPr xmlns="http://schemas.microsoft.com/office/spreadsheetml/2009/9/main" objectType="Drop" dropLines="2" dropStyle="combo" dx="22" fmlaLink="$Q$35" fmlaRange="$Q$33:$Q$34" noThreeD="1" sel="1" val="0"/>
</file>

<file path=xl/ctrlProps/ctrlProp6.xml><?xml version="1.0" encoding="utf-8"?>
<formControlPr xmlns="http://schemas.microsoft.com/office/spreadsheetml/2009/9/main" objectType="Drop" dropLines="7" dropStyle="combo" dx="22" fmlaLink="$V$41" fmlaRange="$V$34:$V$40" noThreeD="1" sel="7" val="0"/>
</file>

<file path=xl/ctrlProps/ctrlProp7.xml><?xml version="1.0" encoding="utf-8"?>
<formControlPr xmlns="http://schemas.microsoft.com/office/spreadsheetml/2009/9/main" objectType="Drop" dropLines="4" dropStyle="combo" dx="22" fmlaLink="$W$41" fmlaRange="$W$34:$W$37" noThreeD="1" sel="1" val="0"/>
</file>

<file path=xl/ctrlProps/ctrlProp8.xml><?xml version="1.0" encoding="utf-8"?>
<formControlPr xmlns="http://schemas.microsoft.com/office/spreadsheetml/2009/9/main" objectType="Drop" dropLines="5" dropStyle="combo" dx="22" fmlaLink="$Q$31" fmlaRange="$Q$26:$Q$30" noThreeD="1" sel="3" val="0"/>
</file>

<file path=xl/ctrlProps/ctrlProp9.xml><?xml version="1.0" encoding="utf-8"?>
<formControlPr xmlns="http://schemas.microsoft.com/office/spreadsheetml/2009/9/main" objectType="Drop" dropLines="3" dropStyle="combo" dx="22" fmlaLink="$Z$31" fmlaRange="$Z$26:$Z$28" noThreeD="1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4</xdr:col>
          <xdr:colOff>323850</xdr:colOff>
          <xdr:row>8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10</xdr:col>
          <xdr:colOff>0</xdr:colOff>
          <xdr:row>8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0</xdr:rowOff>
        </xdr:from>
        <xdr:to>
          <xdr:col>15</xdr:col>
          <xdr:colOff>0</xdr:colOff>
          <xdr:row>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14</xdr:col>
          <xdr:colOff>0</xdr:colOff>
          <xdr:row>36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4</xdr:col>
          <xdr:colOff>323850</xdr:colOff>
          <xdr:row>34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0</xdr:rowOff>
        </xdr:from>
        <xdr:to>
          <xdr:col>14</xdr:col>
          <xdr:colOff>0</xdr:colOff>
          <xdr:row>40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0</xdr:rowOff>
        </xdr:from>
        <xdr:to>
          <xdr:col>14</xdr:col>
          <xdr:colOff>0</xdr:colOff>
          <xdr:row>41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3</xdr:col>
          <xdr:colOff>381000</xdr:colOff>
          <xdr:row>31</xdr:row>
          <xdr:rowOff>161925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9</xdr:col>
          <xdr:colOff>0</xdr:colOff>
          <xdr:row>31</xdr:row>
          <xdr:rowOff>161925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0</xdr:rowOff>
        </xdr:from>
        <xdr:to>
          <xdr:col>14</xdr:col>
          <xdr:colOff>0</xdr:colOff>
          <xdr:row>25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57150</xdr:colOff>
      <xdr:row>45</xdr:row>
      <xdr:rowOff>71437</xdr:rowOff>
    </xdr:from>
    <xdr:to>
      <xdr:col>14</xdr:col>
      <xdr:colOff>352425</xdr:colOff>
      <xdr:row>56</xdr:row>
      <xdr:rowOff>104775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361950</xdr:colOff>
          <xdr:row>41</xdr:row>
          <xdr:rowOff>28575</xdr:rowOff>
        </xdr:from>
        <xdr:to>
          <xdr:col>7</xdr:col>
          <xdr:colOff>333375</xdr:colOff>
          <xdr:row>41</xdr:row>
          <xdr:rowOff>209550</xdr:rowOff>
        </xdr:to>
        <xdr:sp macro="" textlink="">
          <xdr:nvSpPr>
            <xdr:cNvPr id="1036" name="Button 12" descr="PŘEPOČET HODNOT A KONTROLA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 Narrow"/>
                </a:rPr>
                <a:t>PŘEPOČET HODNOT A KONTROLA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14</xdr:col>
      <xdr:colOff>367472</xdr:colOff>
      <xdr:row>0</xdr:row>
      <xdr:rowOff>637540</xdr:rowOff>
    </xdr:to>
    <xdr:pic>
      <xdr:nvPicPr>
        <xdr:cNvPr id="16" name="Obrázek 1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37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zkum\vyzkum_2015\NZU\BILANCE_SS_2014_verzepracov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 a komentář"/>
      <sheetName val="Zadání"/>
      <sheetName val="VYHODNOCENÍ"/>
      <sheetName val="BAZ"/>
      <sheetName val="data"/>
      <sheetName val="H"/>
      <sheetName val="G"/>
    </sheetNames>
    <sheetDataSet>
      <sheetData sheetId="0"/>
      <sheetData sheetId="1">
        <row r="8">
          <cell r="F8">
            <v>10</v>
          </cell>
        </row>
        <row r="9">
          <cell r="F9">
            <v>55</v>
          </cell>
        </row>
        <row r="16">
          <cell r="G16">
            <v>0.75</v>
          </cell>
        </row>
        <row r="17">
          <cell r="F17">
            <v>5</v>
          </cell>
        </row>
        <row r="19">
          <cell r="F19">
            <v>10</v>
          </cell>
        </row>
        <row r="25">
          <cell r="F25">
            <v>6</v>
          </cell>
        </row>
        <row r="31">
          <cell r="F31">
            <v>2</v>
          </cell>
        </row>
        <row r="32">
          <cell r="F32">
            <v>2.5</v>
          </cell>
        </row>
        <row r="35">
          <cell r="F35">
            <v>0.01</v>
          </cell>
        </row>
      </sheetData>
      <sheetData sheetId="2"/>
      <sheetData sheetId="3">
        <row r="1">
          <cell r="C1">
            <v>250000</v>
          </cell>
        </row>
        <row r="2">
          <cell r="C2">
            <v>0.65</v>
          </cell>
        </row>
        <row r="3">
          <cell r="C3">
            <v>0.65</v>
          </cell>
        </row>
        <row r="4">
          <cell r="C4">
            <v>1.5999999999999999E-5</v>
          </cell>
        </row>
        <row r="5">
          <cell r="C5">
            <v>1.5999999999999999E-5</v>
          </cell>
        </row>
        <row r="6">
          <cell r="C6">
            <v>10</v>
          </cell>
        </row>
        <row r="7">
          <cell r="C7">
            <v>15</v>
          </cell>
        </row>
        <row r="8">
          <cell r="C8">
            <v>3</v>
          </cell>
        </row>
        <row r="9">
          <cell r="C9">
            <v>6</v>
          </cell>
        </row>
        <row r="10">
          <cell r="C10">
            <v>0.03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Q58"/>
  <sheetViews>
    <sheetView tabSelected="1" zoomScale="85" zoomScaleNormal="85" workbookViewId="0">
      <selection activeCell="H12" sqref="H12:I12"/>
    </sheetView>
  </sheetViews>
  <sheetFormatPr defaultColWidth="0" defaultRowHeight="12.75" zeroHeight="1" x14ac:dyDescent="0.2"/>
  <cols>
    <col min="1" max="3" width="5.7109375" style="49" customWidth="1"/>
    <col min="4" max="4" width="6.5703125" style="49" customWidth="1"/>
    <col min="5" max="15" width="5.7109375" style="49" customWidth="1"/>
    <col min="16" max="49" width="1.28515625" style="49" hidden="1" customWidth="1"/>
    <col min="50" max="16384" width="1.28515625" style="49" hidden="1"/>
  </cols>
  <sheetData>
    <row r="1" spans="1:43" ht="66.75" customHeight="1" thickBot="1" x14ac:dyDescent="0.3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98"/>
      <c r="N1" s="198"/>
      <c r="O1" s="199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43" ht="5.2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43" ht="12.75" customHeight="1" x14ac:dyDescent="0.2">
      <c r="A3" s="203" t="s">
        <v>21</v>
      </c>
      <c r="B3" s="204"/>
      <c r="C3" s="202"/>
      <c r="D3" s="202"/>
      <c r="E3" s="202"/>
      <c r="F3" s="202"/>
      <c r="G3" s="202"/>
      <c r="H3" s="52"/>
      <c r="I3" s="204" t="s">
        <v>23</v>
      </c>
      <c r="J3" s="204"/>
      <c r="K3" s="202"/>
      <c r="L3" s="202"/>
      <c r="M3" s="202"/>
      <c r="N3" s="202"/>
      <c r="O3" s="51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43" ht="12.75" customHeight="1" x14ac:dyDescent="0.2">
      <c r="A4" s="203" t="s">
        <v>22</v>
      </c>
      <c r="B4" s="204"/>
      <c r="C4" s="202"/>
      <c r="D4" s="202"/>
      <c r="E4" s="202"/>
      <c r="F4" s="202"/>
      <c r="G4" s="202"/>
      <c r="H4" s="52"/>
      <c r="I4" s="204" t="s">
        <v>24</v>
      </c>
      <c r="J4" s="204"/>
      <c r="K4" s="205"/>
      <c r="L4" s="205"/>
      <c r="M4" s="205"/>
      <c r="N4" s="205"/>
      <c r="O4" s="51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43" ht="2.25" customHeight="1" x14ac:dyDescent="0.2">
      <c r="A5" s="203"/>
      <c r="B5" s="204"/>
      <c r="C5" s="206"/>
      <c r="D5" s="206"/>
      <c r="E5" s="206"/>
      <c r="F5" s="206"/>
      <c r="G5" s="206"/>
      <c r="H5" s="52"/>
      <c r="I5" s="53"/>
      <c r="J5" s="53"/>
      <c r="K5" s="53"/>
      <c r="L5" s="53"/>
      <c r="M5" s="53"/>
      <c r="N5" s="53"/>
      <c r="O5" s="54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43" ht="1.5" customHeight="1" thickBot="1" x14ac:dyDescent="0.25">
      <c r="A6" s="5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43" ht="13.5" customHeight="1" x14ac:dyDescent="0.2">
      <c r="A7" s="184" t="s">
        <v>3</v>
      </c>
      <c r="B7" s="185"/>
      <c r="C7" s="185"/>
      <c r="D7" s="185"/>
      <c r="E7" s="56"/>
      <c r="F7" s="184" t="s">
        <v>1</v>
      </c>
      <c r="G7" s="185"/>
      <c r="H7" s="185"/>
      <c r="I7" s="185"/>
      <c r="J7" s="56"/>
      <c r="K7" s="184" t="s">
        <v>2</v>
      </c>
      <c r="L7" s="185"/>
      <c r="M7" s="185"/>
      <c r="N7" s="185"/>
      <c r="O7" s="56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43" x14ac:dyDescent="0.2">
      <c r="A8" s="57"/>
      <c r="B8" s="58"/>
      <c r="C8" s="58"/>
      <c r="D8" s="58"/>
      <c r="E8" s="59"/>
      <c r="F8" s="57"/>
      <c r="G8" s="58"/>
      <c r="H8" s="58"/>
      <c r="I8" s="58"/>
      <c r="J8" s="59"/>
      <c r="K8" s="57"/>
      <c r="L8" s="58"/>
      <c r="M8" s="58"/>
      <c r="N8" s="58"/>
      <c r="O8" s="59"/>
      <c r="AA8" s="48"/>
      <c r="AB8" s="48"/>
      <c r="AC8" s="48"/>
      <c r="AD8" s="48"/>
    </row>
    <row r="9" spans="1:43" ht="3" customHeight="1" x14ac:dyDescent="0.2">
      <c r="A9" s="57"/>
      <c r="B9" s="58"/>
      <c r="C9" s="58"/>
      <c r="D9" s="58"/>
      <c r="E9" s="59"/>
      <c r="F9" s="55"/>
      <c r="G9" s="53"/>
      <c r="H9" s="53"/>
      <c r="I9" s="53"/>
      <c r="J9" s="54"/>
      <c r="K9" s="55"/>
      <c r="L9" s="53"/>
      <c r="M9" s="53"/>
      <c r="N9" s="53"/>
      <c r="O9" s="54"/>
      <c r="AA9" s="48"/>
      <c r="AB9" s="48"/>
      <c r="AC9" s="48"/>
      <c r="AD9" s="48"/>
    </row>
    <row r="10" spans="1:43" x14ac:dyDescent="0.2">
      <c r="A10" s="55"/>
      <c r="B10" s="192" t="s">
        <v>28</v>
      </c>
      <c r="C10" s="193" t="s">
        <v>29</v>
      </c>
      <c r="D10" s="193"/>
      <c r="E10" s="59"/>
      <c r="F10" s="55"/>
      <c r="G10" s="192" t="s">
        <v>28</v>
      </c>
      <c r="H10" s="193" t="s">
        <v>126</v>
      </c>
      <c r="I10" s="193"/>
      <c r="J10" s="54"/>
      <c r="K10" s="55"/>
      <c r="L10" s="192" t="s">
        <v>28</v>
      </c>
      <c r="M10" s="193" t="s">
        <v>127</v>
      </c>
      <c r="N10" s="193"/>
      <c r="O10" s="54"/>
      <c r="Q10" s="48" t="s">
        <v>212</v>
      </c>
      <c r="R10" s="48"/>
      <c r="S10" s="48"/>
      <c r="T10" s="48"/>
      <c r="U10" s="48"/>
      <c r="V10" s="48" t="s">
        <v>212</v>
      </c>
      <c r="W10" s="48"/>
      <c r="X10" s="48"/>
      <c r="Y10" s="48"/>
      <c r="Z10" s="48"/>
      <c r="AA10" s="48" t="s">
        <v>212</v>
      </c>
      <c r="AB10" s="48"/>
      <c r="AC10" s="48"/>
      <c r="AD10" s="48"/>
    </row>
    <row r="11" spans="1:43" x14ac:dyDescent="0.2">
      <c r="A11" s="55"/>
      <c r="B11" s="192"/>
      <c r="C11" s="193"/>
      <c r="D11" s="193"/>
      <c r="E11" s="59"/>
      <c r="F11" s="55"/>
      <c r="G11" s="192"/>
      <c r="H11" s="193"/>
      <c r="I11" s="193"/>
      <c r="J11" s="54"/>
      <c r="K11" s="55"/>
      <c r="L11" s="192"/>
      <c r="M11" s="193"/>
      <c r="N11" s="193"/>
      <c r="O11" s="54"/>
      <c r="Q11" s="48" t="s">
        <v>27</v>
      </c>
      <c r="R11" s="48"/>
      <c r="S11" s="48"/>
      <c r="T11" s="48"/>
      <c r="U11" s="48"/>
      <c r="V11" s="48" t="s">
        <v>27</v>
      </c>
      <c r="W11" s="48"/>
      <c r="X11" s="48"/>
      <c r="Y11" s="48"/>
      <c r="Z11" s="48"/>
      <c r="AA11" s="48" t="s">
        <v>27</v>
      </c>
      <c r="AB11" s="48"/>
      <c r="AC11" s="48"/>
      <c r="AD11" s="48"/>
      <c r="AM11" s="49" t="s">
        <v>128</v>
      </c>
      <c r="AN11" s="49" t="s">
        <v>129</v>
      </c>
      <c r="AO11" s="49" t="s">
        <v>130</v>
      </c>
      <c r="AP11" s="49" t="s">
        <v>131</v>
      </c>
      <c r="AQ11" s="49" t="s">
        <v>201</v>
      </c>
    </row>
    <row r="12" spans="1:43" x14ac:dyDescent="0.2">
      <c r="A12" s="55"/>
      <c r="B12" s="60" t="s">
        <v>4</v>
      </c>
      <c r="C12" s="186">
        <v>337.47219999999999</v>
      </c>
      <c r="D12" s="186"/>
      <c r="E12" s="59"/>
      <c r="F12" s="55"/>
      <c r="G12" s="60" t="s">
        <v>4</v>
      </c>
      <c r="H12" s="186"/>
      <c r="I12" s="186"/>
      <c r="J12" s="54"/>
      <c r="K12" s="55"/>
      <c r="L12" s="60" t="s">
        <v>4</v>
      </c>
      <c r="M12" s="186"/>
      <c r="N12" s="186"/>
      <c r="O12" s="54"/>
      <c r="Q12" s="95">
        <v>2</v>
      </c>
      <c r="R12" s="48"/>
      <c r="S12" s="48"/>
      <c r="T12" s="48"/>
      <c r="U12" s="48"/>
      <c r="V12" s="95">
        <v>2</v>
      </c>
      <c r="W12" s="48"/>
      <c r="X12" s="48"/>
      <c r="Y12" s="48"/>
      <c r="Z12" s="48"/>
      <c r="AA12" s="95">
        <v>2</v>
      </c>
      <c r="AB12" s="48"/>
      <c r="AC12" s="48"/>
      <c r="AD12" s="48"/>
      <c r="AK12" s="60" t="s">
        <v>4</v>
      </c>
      <c r="AL12" s="49">
        <v>31</v>
      </c>
      <c r="AM12" s="49">
        <v>-1.3</v>
      </c>
      <c r="AN12" s="61">
        <f t="shared" ref="AN12:AN17" si="0">AL12*$D$26*$D$27*4187*($D$29-$D$28)*(1+$D$31/100)/3600000</f>
        <v>337.47219999999999</v>
      </c>
      <c r="AO12" s="49">
        <f>AL12*24*$I$26*($I$27-AM12)*$I$31*(1+$I$30/100)/($I$27-$I$28)</f>
        <v>2599.9312500000001</v>
      </c>
      <c r="AP12" s="61">
        <f>+CHOOSE($AG$31,BAZ!O30,BAZ!O30,BAZ!P30,BAZ!P30)</f>
        <v>3918.6261879502872</v>
      </c>
      <c r="AQ12" s="61">
        <f>AO12+AN12</f>
        <v>2937.4034500000002</v>
      </c>
    </row>
    <row r="13" spans="1:43" x14ac:dyDescent="0.2">
      <c r="A13" s="55"/>
      <c r="B13" s="60" t="s">
        <v>5</v>
      </c>
      <c r="C13" s="186">
        <v>304.81360000000001</v>
      </c>
      <c r="D13" s="186"/>
      <c r="E13" s="59"/>
      <c r="F13" s="55"/>
      <c r="G13" s="60" t="s">
        <v>5</v>
      </c>
      <c r="H13" s="186"/>
      <c r="I13" s="186"/>
      <c r="J13" s="54"/>
      <c r="K13" s="55"/>
      <c r="L13" s="60" t="s">
        <v>5</v>
      </c>
      <c r="M13" s="186"/>
      <c r="N13" s="186"/>
      <c r="O13" s="54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K13" s="60" t="s">
        <v>5</v>
      </c>
      <c r="AL13" s="49">
        <v>28</v>
      </c>
      <c r="AM13" s="49">
        <v>-0.1</v>
      </c>
      <c r="AN13" s="61">
        <f t="shared" si="0"/>
        <v>304.81360000000001</v>
      </c>
      <c r="AO13" s="49">
        <f t="shared" ref="AO13:AO23" si="1">AL13*24*$I$26*($I$27-AM13)*$I$31*(1+$I$30/100)/($I$27-$I$28)</f>
        <v>2216.0250000000001</v>
      </c>
      <c r="AP13" s="61">
        <f>+CHOOSE($AG$31,BAZ!O31,BAZ!O31,BAZ!P31,BAZ!P31)</f>
        <v>3278.2802614052907</v>
      </c>
      <c r="AQ13" s="61">
        <f t="shared" ref="AQ13:AQ23" si="2">AO13+AN13</f>
        <v>2520.8386</v>
      </c>
    </row>
    <row r="14" spans="1:43" x14ac:dyDescent="0.2">
      <c r="A14" s="55"/>
      <c r="B14" s="60" t="s">
        <v>6</v>
      </c>
      <c r="C14" s="186">
        <v>337.47219999999999</v>
      </c>
      <c r="D14" s="186"/>
      <c r="E14" s="59"/>
      <c r="F14" s="55"/>
      <c r="G14" s="60" t="s">
        <v>6</v>
      </c>
      <c r="H14" s="186"/>
      <c r="I14" s="186"/>
      <c r="J14" s="54"/>
      <c r="K14" s="55"/>
      <c r="L14" s="60" t="s">
        <v>6</v>
      </c>
      <c r="M14" s="186"/>
      <c r="N14" s="186"/>
      <c r="O14" s="54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K14" s="60" t="s">
        <v>6</v>
      </c>
      <c r="AL14" s="49">
        <v>31</v>
      </c>
      <c r="AM14" s="49">
        <v>3.7</v>
      </c>
      <c r="AN14" s="61">
        <f t="shared" si="0"/>
        <v>337.47219999999999</v>
      </c>
      <c r="AO14" s="49">
        <f t="shared" si="1"/>
        <v>1989.6187500000001</v>
      </c>
      <c r="AP14" s="61">
        <f>+CHOOSE($AG$31,BAZ!O32,BAZ!O32,BAZ!P32,BAZ!P32)</f>
        <v>2863.8586718734182</v>
      </c>
      <c r="AQ14" s="61">
        <f t="shared" si="2"/>
        <v>2327.0909500000002</v>
      </c>
    </row>
    <row r="15" spans="1:43" x14ac:dyDescent="0.2">
      <c r="A15" s="55"/>
      <c r="B15" s="60" t="s">
        <v>7</v>
      </c>
      <c r="C15" s="190">
        <v>326.58600000000001</v>
      </c>
      <c r="D15" s="191"/>
      <c r="E15" s="59"/>
      <c r="F15" s="55"/>
      <c r="G15" s="60" t="s">
        <v>7</v>
      </c>
      <c r="H15" s="190"/>
      <c r="I15" s="191"/>
      <c r="J15" s="54"/>
      <c r="K15" s="55"/>
      <c r="L15" s="60" t="s">
        <v>7</v>
      </c>
      <c r="M15" s="186"/>
      <c r="N15" s="186"/>
      <c r="O15" s="54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K15" s="60" t="s">
        <v>7</v>
      </c>
      <c r="AL15" s="49">
        <v>30</v>
      </c>
      <c r="AM15" s="49">
        <v>8.1</v>
      </c>
      <c r="AN15" s="61">
        <f t="shared" si="0"/>
        <v>326.58600000000001</v>
      </c>
      <c r="AO15" s="49">
        <f t="shared" si="1"/>
        <v>1405.6875</v>
      </c>
      <c r="AP15" s="61">
        <f>+CHOOSE($AG$31,BAZ!O33,BAZ!O33,BAZ!P33,BAZ!P33)</f>
        <v>1847.9694337698718</v>
      </c>
      <c r="AQ15" s="61">
        <f t="shared" si="2"/>
        <v>1732.2735</v>
      </c>
    </row>
    <row r="16" spans="1:43" x14ac:dyDescent="0.2">
      <c r="A16" s="55"/>
      <c r="B16" s="60" t="s">
        <v>8</v>
      </c>
      <c r="C16" s="190">
        <v>337.47219999999999</v>
      </c>
      <c r="D16" s="191"/>
      <c r="E16" s="59"/>
      <c r="F16" s="55"/>
      <c r="G16" s="60" t="s">
        <v>8</v>
      </c>
      <c r="H16" s="190"/>
      <c r="I16" s="191"/>
      <c r="J16" s="54"/>
      <c r="K16" s="55"/>
      <c r="L16" s="60" t="s">
        <v>8</v>
      </c>
      <c r="M16" s="186"/>
      <c r="N16" s="186"/>
      <c r="O16" s="54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K16" s="60" t="s">
        <v>8</v>
      </c>
      <c r="AL16" s="49">
        <v>31</v>
      </c>
      <c r="AM16" s="49">
        <v>13.3</v>
      </c>
      <c r="AN16" s="61">
        <f t="shared" si="0"/>
        <v>337.47219999999999</v>
      </c>
      <c r="AO16" s="49">
        <f t="shared" si="1"/>
        <v>817.81874999999991</v>
      </c>
      <c r="AP16" s="61">
        <f>+CHOOSE($AG$31,BAZ!O34,BAZ!O34,BAZ!P34,BAZ!P34)</f>
        <v>939.49253802350336</v>
      </c>
      <c r="AQ16" s="61">
        <f t="shared" si="2"/>
        <v>1155.2909499999998</v>
      </c>
    </row>
    <row r="17" spans="1:43" x14ac:dyDescent="0.2">
      <c r="A17" s="55"/>
      <c r="B17" s="60" t="s">
        <v>9</v>
      </c>
      <c r="C17" s="190">
        <v>326.58600000000001</v>
      </c>
      <c r="D17" s="191"/>
      <c r="E17" s="59"/>
      <c r="F17" s="55"/>
      <c r="G17" s="60" t="s">
        <v>9</v>
      </c>
      <c r="H17" s="190"/>
      <c r="I17" s="191"/>
      <c r="J17" s="54"/>
      <c r="K17" s="55"/>
      <c r="L17" s="60" t="s">
        <v>9</v>
      </c>
      <c r="M17" s="186"/>
      <c r="N17" s="186"/>
      <c r="O17" s="54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K17" s="60" t="s">
        <v>9</v>
      </c>
      <c r="AL17" s="49">
        <v>30</v>
      </c>
      <c r="AM17" s="49">
        <v>16.100000000000001</v>
      </c>
      <c r="AN17" s="61">
        <f t="shared" si="0"/>
        <v>326.58600000000001</v>
      </c>
      <c r="AO17" s="49">
        <v>0</v>
      </c>
      <c r="AP17" s="61">
        <f>+CHOOSE($AG$31,BAZ!O35,BAZ!O35,BAZ!P35,BAZ!P35)</f>
        <v>546.88848215532425</v>
      </c>
      <c r="AQ17" s="61">
        <f t="shared" si="2"/>
        <v>326.58600000000001</v>
      </c>
    </row>
    <row r="18" spans="1:43" x14ac:dyDescent="0.2">
      <c r="A18" s="55"/>
      <c r="B18" s="60" t="s">
        <v>10</v>
      </c>
      <c r="C18" s="190">
        <v>253.10415</v>
      </c>
      <c r="D18" s="191"/>
      <c r="E18" s="59"/>
      <c r="F18" s="55"/>
      <c r="G18" s="60" t="s">
        <v>10</v>
      </c>
      <c r="H18" s="190"/>
      <c r="I18" s="191"/>
      <c r="J18" s="54"/>
      <c r="K18" s="55"/>
      <c r="L18" s="60" t="s">
        <v>10</v>
      </c>
      <c r="M18" s="186"/>
      <c r="N18" s="186"/>
      <c r="O18" s="54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K18" s="60" t="s">
        <v>10</v>
      </c>
      <c r="AL18" s="49">
        <v>31</v>
      </c>
      <c r="AM18" s="49">
        <v>18</v>
      </c>
      <c r="AN18" s="61">
        <f>AL18*$D$26*$D$27*4187*($D$29-$D$28)*(1+$D$31/100)*(1-$D$30/100)/3600000</f>
        <v>253.10415</v>
      </c>
      <c r="AO18" s="49">
        <v>0</v>
      </c>
      <c r="AP18" s="61">
        <f>+CHOOSE($AG$31,BAZ!O36,BAZ!O36,BAZ!P36,BAZ!P36)</f>
        <v>344.24521483909302</v>
      </c>
      <c r="AQ18" s="61">
        <f t="shared" si="2"/>
        <v>253.10415</v>
      </c>
    </row>
    <row r="19" spans="1:43" x14ac:dyDescent="0.2">
      <c r="A19" s="55"/>
      <c r="B19" s="60" t="s">
        <v>11</v>
      </c>
      <c r="C19" s="190">
        <v>253.10415</v>
      </c>
      <c r="D19" s="191"/>
      <c r="E19" s="59"/>
      <c r="F19" s="55"/>
      <c r="G19" s="60" t="s">
        <v>11</v>
      </c>
      <c r="H19" s="190"/>
      <c r="I19" s="191"/>
      <c r="J19" s="54"/>
      <c r="K19" s="55"/>
      <c r="L19" s="60" t="s">
        <v>11</v>
      </c>
      <c r="M19" s="186"/>
      <c r="N19" s="186"/>
      <c r="O19" s="54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K19" s="60" t="s">
        <v>11</v>
      </c>
      <c r="AL19" s="49">
        <v>31</v>
      </c>
      <c r="AM19" s="49">
        <v>17.899999999999999</v>
      </c>
      <c r="AN19" s="61">
        <f>AL19*$D$26*$D$27*4187*($D$29-$D$28)*(1+$D$31/100)*(1-$D$30/100)/3600000</f>
        <v>253.10415</v>
      </c>
      <c r="AO19" s="49">
        <v>0</v>
      </c>
      <c r="AP19" s="61">
        <f>+CHOOSE($AG$31,BAZ!O37,BAZ!O37,BAZ!P37,BAZ!P37)</f>
        <v>341.12250890221117</v>
      </c>
      <c r="AQ19" s="61">
        <f t="shared" si="2"/>
        <v>253.10415</v>
      </c>
    </row>
    <row r="20" spans="1:43" x14ac:dyDescent="0.2">
      <c r="A20" s="55"/>
      <c r="B20" s="60" t="s">
        <v>12</v>
      </c>
      <c r="C20" s="190">
        <v>326.58600000000001</v>
      </c>
      <c r="D20" s="191"/>
      <c r="E20" s="59"/>
      <c r="F20" s="55"/>
      <c r="G20" s="60" t="s">
        <v>12</v>
      </c>
      <c r="H20" s="190"/>
      <c r="I20" s="191"/>
      <c r="J20" s="54"/>
      <c r="K20" s="55"/>
      <c r="L20" s="60" t="s">
        <v>12</v>
      </c>
      <c r="M20" s="186"/>
      <c r="N20" s="186"/>
      <c r="O20" s="54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K20" s="60" t="s">
        <v>12</v>
      </c>
      <c r="AL20" s="49">
        <v>30</v>
      </c>
      <c r="AM20" s="49">
        <v>13.5</v>
      </c>
      <c r="AN20" s="61">
        <f>AL20*$D$26*$D$27*4187*($D$29-$D$28)*(1+$D$31/100)/3600000</f>
        <v>326.58600000000001</v>
      </c>
      <c r="AO20" s="49">
        <f t="shared" si="1"/>
        <v>767.8125</v>
      </c>
      <c r="AP20" s="61">
        <f>+CHOOSE($AG$31,BAZ!O38,BAZ!O38,BAZ!P38,BAZ!P38)</f>
        <v>1255.0186166965152</v>
      </c>
      <c r="AQ20" s="61">
        <f t="shared" si="2"/>
        <v>1094.3985</v>
      </c>
    </row>
    <row r="21" spans="1:43" x14ac:dyDescent="0.2">
      <c r="A21" s="55"/>
      <c r="B21" s="60" t="s">
        <v>13</v>
      </c>
      <c r="C21" s="190">
        <v>337.47219999999999</v>
      </c>
      <c r="D21" s="191"/>
      <c r="E21" s="59"/>
      <c r="F21" s="55"/>
      <c r="G21" s="60" t="s">
        <v>13</v>
      </c>
      <c r="H21" s="190"/>
      <c r="I21" s="191"/>
      <c r="J21" s="54"/>
      <c r="K21" s="55"/>
      <c r="L21" s="60" t="s">
        <v>13</v>
      </c>
      <c r="M21" s="186"/>
      <c r="N21" s="186"/>
      <c r="O21" s="54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K21" s="60" t="s">
        <v>13</v>
      </c>
      <c r="AL21" s="49">
        <v>31</v>
      </c>
      <c r="AM21" s="49">
        <v>8.3000000000000007</v>
      </c>
      <c r="AN21" s="61">
        <f>AL21*$D$26*$D$27*4187*($D$29-$D$28)*(1+$D$31/100)/3600000</f>
        <v>337.47219999999999</v>
      </c>
      <c r="AO21" s="49">
        <f t="shared" si="1"/>
        <v>1428.1312500000001</v>
      </c>
      <c r="AP21" s="61">
        <f>+CHOOSE($AG$31,BAZ!O39,BAZ!O39,BAZ!P39,BAZ!P39)</f>
        <v>2304.9604605818554</v>
      </c>
      <c r="AQ21" s="61">
        <f t="shared" si="2"/>
        <v>1765.6034500000001</v>
      </c>
    </row>
    <row r="22" spans="1:43" x14ac:dyDescent="0.2">
      <c r="A22" s="62"/>
      <c r="B22" s="60" t="s">
        <v>14</v>
      </c>
      <c r="C22" s="190">
        <v>326.58600000000001</v>
      </c>
      <c r="D22" s="191"/>
      <c r="E22" s="59"/>
      <c r="F22" s="55"/>
      <c r="G22" s="60" t="s">
        <v>14</v>
      </c>
      <c r="H22" s="190"/>
      <c r="I22" s="191"/>
      <c r="J22" s="54"/>
      <c r="K22" s="55"/>
      <c r="L22" s="60" t="s">
        <v>14</v>
      </c>
      <c r="M22" s="186"/>
      <c r="N22" s="186"/>
      <c r="O22" s="54"/>
      <c r="P22" s="63"/>
      <c r="Q22" s="63"/>
      <c r="R22" s="63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K22" s="60" t="s">
        <v>14</v>
      </c>
      <c r="AL22" s="49">
        <v>30</v>
      </c>
      <c r="AM22" s="49">
        <v>3.2</v>
      </c>
      <c r="AN22" s="61">
        <f>AL22*$D$26*$D$27*4187*($D$29-$D$28)*(1+$D$31/100)/3600000</f>
        <v>326.58600000000001</v>
      </c>
      <c r="AO22" s="49">
        <f t="shared" si="1"/>
        <v>1984.5</v>
      </c>
      <c r="AP22" s="61">
        <f>+CHOOSE($AG$31,BAZ!O40,BAZ!O40,BAZ!P40,BAZ!P40)</f>
        <v>3144.228332165666</v>
      </c>
      <c r="AQ22" s="61">
        <f t="shared" si="2"/>
        <v>2311.0860000000002</v>
      </c>
    </row>
    <row r="23" spans="1:43" x14ac:dyDescent="0.2">
      <c r="A23" s="62"/>
      <c r="B23" s="60" t="s">
        <v>15</v>
      </c>
      <c r="C23" s="190">
        <v>337.47219999999999</v>
      </c>
      <c r="D23" s="191"/>
      <c r="E23" s="59"/>
      <c r="F23" s="55"/>
      <c r="G23" s="60" t="s">
        <v>15</v>
      </c>
      <c r="H23" s="190"/>
      <c r="I23" s="191"/>
      <c r="J23" s="54"/>
      <c r="K23" s="55"/>
      <c r="L23" s="60" t="s">
        <v>15</v>
      </c>
      <c r="M23" s="186"/>
      <c r="N23" s="186"/>
      <c r="O23" s="54"/>
      <c r="P23" s="63"/>
      <c r="Q23" s="63"/>
      <c r="R23" s="63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K23" s="60" t="s">
        <v>15</v>
      </c>
      <c r="AL23" s="49">
        <v>31</v>
      </c>
      <c r="AM23" s="49">
        <v>0.5</v>
      </c>
      <c r="AN23" s="61">
        <f>AL23*$D$26*$D$27*4187*($D$29-$D$28)*(1+$D$31/100)/3600000</f>
        <v>337.47219999999999</v>
      </c>
      <c r="AO23" s="49">
        <f t="shared" si="1"/>
        <v>2380.21875</v>
      </c>
      <c r="AP23" s="61">
        <f>+CHOOSE($AG$31,BAZ!O41,BAZ!O41,BAZ!P41,BAZ!P41)</f>
        <v>3714.6972246708556</v>
      </c>
      <c r="AQ23" s="61">
        <f t="shared" si="2"/>
        <v>2717.6909500000002</v>
      </c>
    </row>
    <row r="24" spans="1:43" ht="3.75" customHeight="1" x14ac:dyDescent="0.2">
      <c r="A24" s="62"/>
      <c r="B24" s="58"/>
      <c r="C24" s="58"/>
      <c r="D24" s="58"/>
      <c r="E24" s="59"/>
      <c r="F24" s="55"/>
      <c r="G24" s="53"/>
      <c r="H24" s="53"/>
      <c r="I24" s="53"/>
      <c r="J24" s="54"/>
      <c r="K24" s="55"/>
      <c r="L24" s="53"/>
      <c r="M24" s="53"/>
      <c r="N24" s="53"/>
      <c r="O24" s="54"/>
      <c r="P24" s="63"/>
      <c r="Q24" s="63"/>
      <c r="R24" s="63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43" x14ac:dyDescent="0.2">
      <c r="A25" s="62"/>
      <c r="B25" s="58"/>
      <c r="C25" s="58"/>
      <c r="D25" s="58"/>
      <c r="E25" s="59"/>
      <c r="F25" s="55"/>
      <c r="G25" s="53"/>
      <c r="H25" s="53"/>
      <c r="I25" s="53"/>
      <c r="J25" s="54"/>
      <c r="K25" s="55"/>
      <c r="L25" s="53"/>
      <c r="M25" s="53"/>
      <c r="N25" s="53"/>
      <c r="O25" s="54"/>
      <c r="P25" s="63"/>
      <c r="Q25" s="63"/>
      <c r="R25" s="63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G25" s="49" t="s">
        <v>97</v>
      </c>
    </row>
    <row r="26" spans="1:43" x14ac:dyDescent="0.2">
      <c r="A26" s="64" t="s">
        <v>30</v>
      </c>
      <c r="B26" s="65"/>
      <c r="C26" s="65"/>
      <c r="D26" s="89">
        <v>4</v>
      </c>
      <c r="E26" s="66" t="s">
        <v>35</v>
      </c>
      <c r="F26" s="64" t="s">
        <v>36</v>
      </c>
      <c r="G26" s="67"/>
      <c r="H26" s="67"/>
      <c r="I26" s="89">
        <v>10</v>
      </c>
      <c r="J26" s="66" t="s">
        <v>37</v>
      </c>
      <c r="K26" s="64" t="s">
        <v>45</v>
      </c>
      <c r="L26" s="67"/>
      <c r="M26" s="67"/>
      <c r="N26" s="89">
        <v>12.5</v>
      </c>
      <c r="O26" s="66" t="s">
        <v>52</v>
      </c>
      <c r="P26" s="63"/>
      <c r="Q26" s="63" t="s">
        <v>93</v>
      </c>
      <c r="R26" s="63"/>
      <c r="S26" s="48"/>
      <c r="T26" s="48"/>
      <c r="U26" s="48"/>
      <c r="V26" s="48"/>
      <c r="W26" s="48"/>
      <c r="X26" s="48">
        <v>0</v>
      </c>
      <c r="Y26" s="48"/>
      <c r="Z26" s="48" t="s">
        <v>94</v>
      </c>
      <c r="AB26" s="48"/>
      <c r="AC26" s="48"/>
      <c r="AD26" s="48"/>
      <c r="AE26" s="48">
        <v>0.75</v>
      </c>
      <c r="AG26" s="49" t="s">
        <v>98</v>
      </c>
    </row>
    <row r="27" spans="1:43" x14ac:dyDescent="0.2">
      <c r="A27" s="64" t="s">
        <v>31</v>
      </c>
      <c r="B27" s="65"/>
      <c r="C27" s="65"/>
      <c r="D27" s="89">
        <v>40</v>
      </c>
      <c r="E27" s="66" t="s">
        <v>40</v>
      </c>
      <c r="F27" s="64" t="s">
        <v>38</v>
      </c>
      <c r="G27" s="67"/>
      <c r="H27" s="67"/>
      <c r="I27" s="89">
        <v>20</v>
      </c>
      <c r="J27" s="66" t="s">
        <v>25</v>
      </c>
      <c r="K27" s="64" t="s">
        <v>208</v>
      </c>
      <c r="L27" s="67"/>
      <c r="M27" s="67"/>
      <c r="N27" s="89">
        <v>12</v>
      </c>
      <c r="O27" s="66" t="s">
        <v>209</v>
      </c>
      <c r="P27" s="63"/>
      <c r="Q27" s="63" t="s">
        <v>89</v>
      </c>
      <c r="R27" s="63"/>
      <c r="S27" s="48"/>
      <c r="T27" s="48"/>
      <c r="U27" s="48"/>
      <c r="V27" s="48"/>
      <c r="W27" s="48"/>
      <c r="X27" s="48">
        <v>0.15</v>
      </c>
      <c r="Y27" s="48"/>
      <c r="Z27" s="48" t="s">
        <v>95</v>
      </c>
      <c r="AB27" s="48"/>
      <c r="AC27" s="48"/>
      <c r="AD27" s="48"/>
      <c r="AE27" s="48">
        <v>0.6</v>
      </c>
      <c r="AG27" s="49" t="s">
        <v>99</v>
      </c>
    </row>
    <row r="28" spans="1:43" x14ac:dyDescent="0.2">
      <c r="A28" s="64" t="s">
        <v>33</v>
      </c>
      <c r="B28" s="65"/>
      <c r="C28" s="65"/>
      <c r="D28" s="89">
        <v>10</v>
      </c>
      <c r="E28" s="66" t="s">
        <v>25</v>
      </c>
      <c r="F28" s="64" t="s">
        <v>39</v>
      </c>
      <c r="G28" s="67"/>
      <c r="H28" s="67"/>
      <c r="I28" s="89">
        <v>-12</v>
      </c>
      <c r="J28" s="66" t="s">
        <v>25</v>
      </c>
      <c r="K28" s="64" t="s">
        <v>49</v>
      </c>
      <c r="L28" s="67"/>
      <c r="M28" s="67"/>
      <c r="N28" s="89">
        <v>28</v>
      </c>
      <c r="O28" s="66" t="s">
        <v>25</v>
      </c>
      <c r="P28" s="63"/>
      <c r="Q28" s="63" t="s">
        <v>90</v>
      </c>
      <c r="R28" s="63"/>
      <c r="S28" s="48"/>
      <c r="T28" s="48"/>
      <c r="U28" s="48"/>
      <c r="V28" s="48"/>
      <c r="W28" s="48"/>
      <c r="X28" s="48">
        <v>0.3</v>
      </c>
      <c r="Y28" s="48"/>
      <c r="Z28" s="48" t="s">
        <v>96</v>
      </c>
      <c r="AB28" s="48"/>
      <c r="AC28" s="48"/>
      <c r="AD28" s="48"/>
      <c r="AE28" s="48">
        <v>0.5</v>
      </c>
      <c r="AG28" s="49" t="s">
        <v>100</v>
      </c>
    </row>
    <row r="29" spans="1:43" x14ac:dyDescent="0.2">
      <c r="A29" s="64" t="s">
        <v>34</v>
      </c>
      <c r="B29" s="65"/>
      <c r="C29" s="65"/>
      <c r="D29" s="89">
        <v>55</v>
      </c>
      <c r="E29" s="66" t="s">
        <v>25</v>
      </c>
      <c r="F29" s="64" t="s">
        <v>42</v>
      </c>
      <c r="G29" s="67"/>
      <c r="H29" s="67"/>
      <c r="I29" s="90">
        <v>35</v>
      </c>
      <c r="J29" s="66" t="s">
        <v>25</v>
      </c>
      <c r="K29" s="64" t="s">
        <v>46</v>
      </c>
      <c r="L29" s="67"/>
      <c r="M29" s="67"/>
      <c r="N29" s="89">
        <v>28</v>
      </c>
      <c r="O29" s="66" t="s">
        <v>25</v>
      </c>
      <c r="P29" s="63"/>
      <c r="Q29" s="63" t="s">
        <v>91</v>
      </c>
      <c r="R29" s="63"/>
      <c r="S29" s="48"/>
      <c r="T29" s="48"/>
      <c r="U29" s="48"/>
      <c r="V29" s="48"/>
      <c r="W29" s="48"/>
      <c r="X29" s="48">
        <v>1</v>
      </c>
      <c r="Y29" s="48"/>
      <c r="Z29" s="48"/>
      <c r="AA29" s="48"/>
      <c r="AB29" s="48"/>
      <c r="AC29" s="48"/>
      <c r="AD29" s="48"/>
      <c r="AG29" s="49" t="s">
        <v>101</v>
      </c>
    </row>
    <row r="30" spans="1:43" x14ac:dyDescent="0.2">
      <c r="A30" s="64" t="s">
        <v>44</v>
      </c>
      <c r="B30" s="65"/>
      <c r="C30" s="65"/>
      <c r="D30" s="89">
        <v>25</v>
      </c>
      <c r="E30" s="66" t="s">
        <v>16</v>
      </c>
      <c r="F30" s="64" t="s">
        <v>32</v>
      </c>
      <c r="G30" s="67"/>
      <c r="H30" s="67"/>
      <c r="I30" s="91">
        <v>5</v>
      </c>
      <c r="J30" s="66" t="s">
        <v>16</v>
      </c>
      <c r="K30" s="64" t="s">
        <v>47</v>
      </c>
      <c r="L30" s="67"/>
      <c r="M30" s="67"/>
      <c r="N30" s="89">
        <v>24</v>
      </c>
      <c r="O30" s="66" t="s">
        <v>25</v>
      </c>
      <c r="P30" s="63"/>
      <c r="Q30" s="63" t="s">
        <v>92</v>
      </c>
      <c r="R30" s="63"/>
      <c r="S30" s="48"/>
      <c r="T30" s="48"/>
      <c r="U30" s="48"/>
      <c r="V30" s="48"/>
      <c r="W30" s="48"/>
      <c r="X30" s="48">
        <v>2</v>
      </c>
      <c r="Y30" s="48"/>
      <c r="Z30" s="48"/>
      <c r="AA30" s="48"/>
      <c r="AB30" s="48"/>
      <c r="AC30" s="48"/>
      <c r="AD30" s="48"/>
    </row>
    <row r="31" spans="1:43" x14ac:dyDescent="0.2">
      <c r="A31" s="64" t="s">
        <v>32</v>
      </c>
      <c r="B31" s="65"/>
      <c r="C31" s="65"/>
      <c r="D31" s="68">
        <f>+CHOOSE(Q31,0,15,30,100,200)</f>
        <v>30</v>
      </c>
      <c r="E31" s="66" t="s">
        <v>16</v>
      </c>
      <c r="F31" s="64" t="s">
        <v>43</v>
      </c>
      <c r="G31" s="67"/>
      <c r="H31" s="67"/>
      <c r="I31" s="68">
        <f>+CHOOSE(Z31,0.75,0.6,0.5)</f>
        <v>0.5</v>
      </c>
      <c r="J31" s="66"/>
      <c r="K31" s="64" t="s">
        <v>48</v>
      </c>
      <c r="L31" s="67"/>
      <c r="M31" s="67"/>
      <c r="N31" s="89">
        <v>20</v>
      </c>
      <c r="O31" s="66" t="s">
        <v>25</v>
      </c>
      <c r="P31" s="63"/>
      <c r="Q31" s="97">
        <v>3</v>
      </c>
      <c r="R31" s="63"/>
      <c r="S31" s="48"/>
      <c r="T31" s="48"/>
      <c r="U31" s="48"/>
      <c r="V31" s="48"/>
      <c r="W31" s="48"/>
      <c r="X31" s="48"/>
      <c r="Y31" s="48"/>
      <c r="Z31" s="95">
        <v>3</v>
      </c>
      <c r="AA31" s="48"/>
      <c r="AB31" s="48"/>
      <c r="AC31" s="48"/>
      <c r="AD31" s="48"/>
      <c r="AG31" s="96">
        <v>3</v>
      </c>
    </row>
    <row r="32" spans="1:43" ht="13.5" thickBot="1" x14ac:dyDescent="0.25">
      <c r="A32" s="69"/>
      <c r="B32" s="70"/>
      <c r="C32" s="70"/>
      <c r="D32" s="70"/>
      <c r="E32" s="71"/>
      <c r="F32" s="69"/>
      <c r="G32" s="70"/>
      <c r="H32" s="70"/>
      <c r="I32" s="70"/>
      <c r="J32" s="71"/>
      <c r="K32" s="69" t="s">
        <v>50</v>
      </c>
      <c r="L32" s="70"/>
      <c r="M32" s="70"/>
      <c r="N32" s="92">
        <v>120</v>
      </c>
      <c r="O32" s="71" t="s">
        <v>51</v>
      </c>
      <c r="P32" s="63"/>
      <c r="Q32" s="63"/>
      <c r="R32" s="63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7" ht="13.5" customHeight="1" x14ac:dyDescent="0.2">
      <c r="A33" s="184" t="s">
        <v>17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97"/>
      <c r="P33" s="63"/>
      <c r="Q33" s="63" t="s">
        <v>19</v>
      </c>
      <c r="R33" s="63"/>
      <c r="S33" s="48"/>
      <c r="T33" s="48"/>
      <c r="U33" s="48"/>
      <c r="V33" s="48" t="s">
        <v>71</v>
      </c>
      <c r="W33" s="48" t="s">
        <v>63</v>
      </c>
      <c r="X33" s="48"/>
      <c r="Y33" s="48"/>
      <c r="Z33" s="48"/>
      <c r="AA33" s="48"/>
      <c r="AB33" s="48"/>
      <c r="AC33" s="48"/>
      <c r="AD33" s="48"/>
    </row>
    <row r="34" spans="1:37" ht="12.75" customHeight="1" x14ac:dyDescent="0.2">
      <c r="A34" s="64" t="s">
        <v>61</v>
      </c>
      <c r="B34" s="67"/>
      <c r="C34" s="67"/>
      <c r="D34" s="67"/>
      <c r="E34" s="67"/>
      <c r="F34" s="67"/>
      <c r="G34" s="67"/>
      <c r="H34" s="67" t="s">
        <v>62</v>
      </c>
      <c r="I34" s="187" t="s">
        <v>20</v>
      </c>
      <c r="J34" s="188"/>
      <c r="K34" s="188"/>
      <c r="L34" s="188"/>
      <c r="M34" s="188"/>
      <c r="N34" s="189"/>
      <c r="O34" s="66"/>
      <c r="P34" s="63"/>
      <c r="Q34" s="63" t="s">
        <v>60</v>
      </c>
      <c r="R34" s="63"/>
      <c r="S34" s="48"/>
      <c r="T34" s="48"/>
      <c r="U34" s="48"/>
      <c r="V34" s="72" t="s">
        <v>64</v>
      </c>
      <c r="W34" s="72" t="s">
        <v>64</v>
      </c>
      <c r="X34" s="48"/>
      <c r="Y34" s="48"/>
      <c r="Z34" s="48"/>
      <c r="AA34" s="48"/>
      <c r="AB34" s="48"/>
      <c r="AC34" s="48"/>
      <c r="AD34" s="48"/>
    </row>
    <row r="35" spans="1:37" ht="6" customHeight="1" x14ac:dyDescent="0.2">
      <c r="A35" s="64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6"/>
      <c r="P35" s="63"/>
      <c r="Q35" s="97">
        <v>1</v>
      </c>
      <c r="R35" s="63"/>
      <c r="S35" s="48"/>
      <c r="T35" s="48"/>
      <c r="U35" s="48"/>
      <c r="V35" s="72" t="s">
        <v>65</v>
      </c>
      <c r="W35" s="72" t="s">
        <v>65</v>
      </c>
      <c r="X35" s="48"/>
      <c r="Y35" s="48"/>
      <c r="Z35" s="48"/>
      <c r="AA35" s="48"/>
      <c r="AB35" s="48"/>
      <c r="AC35" s="48"/>
      <c r="AD35" s="48"/>
    </row>
    <row r="36" spans="1:37" ht="12.75" customHeight="1" x14ac:dyDescent="0.2">
      <c r="A36" s="55" t="s">
        <v>206</v>
      </c>
      <c r="B36" s="67"/>
      <c r="C36" s="67"/>
      <c r="D36" s="65"/>
      <c r="E36" s="103">
        <v>0.78</v>
      </c>
      <c r="F36" s="67" t="s">
        <v>18</v>
      </c>
      <c r="G36" s="67"/>
      <c r="H36" s="67"/>
      <c r="I36" s="67"/>
      <c r="J36" s="67"/>
      <c r="K36" s="67"/>
      <c r="L36" s="67"/>
      <c r="M36" s="67"/>
      <c r="N36" s="67"/>
      <c r="O36" s="66"/>
      <c r="P36" s="63"/>
      <c r="Q36" s="63" t="s">
        <v>203</v>
      </c>
      <c r="R36" s="63"/>
      <c r="S36" s="48"/>
      <c r="T36" s="48"/>
      <c r="U36" s="48"/>
      <c r="V36" s="72" t="s">
        <v>66</v>
      </c>
      <c r="W36" s="72" t="s">
        <v>66</v>
      </c>
      <c r="X36" s="48"/>
      <c r="Y36" s="48"/>
      <c r="Z36" s="48"/>
      <c r="AA36" s="48"/>
      <c r="AB36" s="48"/>
      <c r="AC36" s="48"/>
      <c r="AD36" s="48"/>
      <c r="AH36" s="178" t="s">
        <v>215</v>
      </c>
      <c r="AI36" s="178"/>
      <c r="AJ36" s="178"/>
      <c r="AK36" s="178"/>
    </row>
    <row r="37" spans="1:37" ht="12.75" customHeight="1" x14ac:dyDescent="0.2">
      <c r="A37" s="55" t="s">
        <v>204</v>
      </c>
      <c r="B37" s="67"/>
      <c r="C37" s="67"/>
      <c r="D37" s="65"/>
      <c r="E37" s="103">
        <v>3.25</v>
      </c>
      <c r="F37" s="67" t="s">
        <v>78</v>
      </c>
      <c r="G37" s="67"/>
      <c r="H37" s="53" t="s">
        <v>72</v>
      </c>
      <c r="I37" s="53"/>
      <c r="J37" s="67"/>
      <c r="K37" s="67"/>
      <c r="L37" s="67"/>
      <c r="M37" s="67"/>
      <c r="N37" s="73">
        <f>+CHOOSE($Q$40,35,30,25+11000*E41/(1000*F57),35+8000*E41/(1000*F57)+0.2*(I29-35))</f>
        <v>38.588360310433842</v>
      </c>
      <c r="O37" s="66" t="s">
        <v>25</v>
      </c>
      <c r="P37" s="63"/>
      <c r="Q37" s="63" t="s">
        <v>202</v>
      </c>
      <c r="R37" s="63"/>
      <c r="S37" s="48"/>
      <c r="T37" s="48"/>
      <c r="U37" s="48"/>
      <c r="V37" s="72" t="s">
        <v>67</v>
      </c>
      <c r="W37" s="72" t="s">
        <v>67</v>
      </c>
      <c r="X37" s="48"/>
      <c r="Y37" s="48"/>
      <c r="Z37" s="48"/>
      <c r="AA37" s="48"/>
      <c r="AB37" s="48"/>
      <c r="AC37" s="48"/>
      <c r="AD37" s="177">
        <f>+E40*N39/F57</f>
        <v>1.2090223873886978</v>
      </c>
      <c r="AE37" s="177"/>
      <c r="AF37" s="177"/>
      <c r="AG37" s="177"/>
      <c r="AH37" s="178">
        <f>IF(Q40&lt;2.5,1,IF(AD37&gt;AH38,IF(AD37&lt;AH39,1,0),0))</f>
        <v>1</v>
      </c>
      <c r="AI37" s="178"/>
      <c r="AJ37" s="178"/>
      <c r="AK37" s="178"/>
    </row>
    <row r="38" spans="1:37" ht="12.75" customHeight="1" x14ac:dyDescent="0.2">
      <c r="A38" s="55" t="s">
        <v>205</v>
      </c>
      <c r="B38" s="67"/>
      <c r="C38" s="67"/>
      <c r="D38" s="65"/>
      <c r="E38" s="89">
        <v>1.6E-2</v>
      </c>
      <c r="F38" s="67" t="s">
        <v>79</v>
      </c>
      <c r="G38" s="67"/>
      <c r="H38" s="53" t="s">
        <v>54</v>
      </c>
      <c r="I38" s="53"/>
      <c r="J38" s="67"/>
      <c r="K38" s="67"/>
      <c r="L38" s="67"/>
      <c r="M38" s="67"/>
      <c r="N38" s="73">
        <f>+CHOOSE($Q$40,1,1,100*(0.26/$E$41+100*E41/(1000*F57)),100*(0.26/$E$41+100*E41/(1000*F57)+0.002*($D$28*SUM(C12:D23)+$I$29*SUM(H12:I23))/(1000*F57)))</f>
        <v>17.884969721284154</v>
      </c>
      <c r="O38" s="66" t="s">
        <v>16</v>
      </c>
      <c r="P38" s="63"/>
      <c r="Q38" s="63" t="s">
        <v>3</v>
      </c>
      <c r="R38" s="63"/>
      <c r="S38" s="48"/>
      <c r="T38" s="48"/>
      <c r="U38" s="48"/>
      <c r="V38" s="72" t="s">
        <v>68</v>
      </c>
      <c r="W38" s="48"/>
      <c r="X38" s="48"/>
      <c r="Y38" s="48"/>
      <c r="Z38" s="48"/>
      <c r="AA38" s="48"/>
      <c r="AB38" s="48"/>
      <c r="AC38" s="48"/>
      <c r="AD38" s="177" t="s">
        <v>216</v>
      </c>
      <c r="AE38" s="177"/>
      <c r="AF38" s="177"/>
      <c r="AG38" s="177"/>
      <c r="AH38" s="178">
        <v>0.1</v>
      </c>
      <c r="AI38" s="178"/>
      <c r="AJ38" s="178"/>
      <c r="AK38" s="178"/>
    </row>
    <row r="39" spans="1:37" ht="12.75" customHeight="1" x14ac:dyDescent="0.2">
      <c r="A39" s="55" t="s">
        <v>213</v>
      </c>
      <c r="B39" s="53"/>
      <c r="C39" s="53"/>
      <c r="D39" s="65"/>
      <c r="E39" s="93">
        <v>2.35</v>
      </c>
      <c r="F39" s="53" t="s">
        <v>52</v>
      </c>
      <c r="G39" s="53"/>
      <c r="H39" s="53" t="s">
        <v>207</v>
      </c>
      <c r="I39" s="53"/>
      <c r="J39" s="53"/>
      <c r="K39" s="53"/>
      <c r="L39" s="53"/>
      <c r="M39" s="53"/>
      <c r="N39" s="101">
        <v>2.2999999999999998</v>
      </c>
      <c r="O39" s="54" t="s">
        <v>52</v>
      </c>
      <c r="P39" s="63"/>
      <c r="Q39" s="63" t="s">
        <v>57</v>
      </c>
      <c r="R39" s="63"/>
      <c r="S39" s="48"/>
      <c r="T39" s="48"/>
      <c r="U39" s="48"/>
      <c r="V39" s="72" t="s">
        <v>69</v>
      </c>
      <c r="W39" s="48"/>
      <c r="X39" s="48"/>
      <c r="Y39" s="48"/>
      <c r="Z39" s="48"/>
      <c r="AA39" s="48"/>
      <c r="AB39" s="48"/>
      <c r="AC39" s="48"/>
      <c r="AD39" s="177" t="s">
        <v>217</v>
      </c>
      <c r="AE39" s="177"/>
      <c r="AF39" s="177"/>
      <c r="AG39" s="177"/>
      <c r="AH39" s="178">
        <v>2.6</v>
      </c>
      <c r="AI39" s="178"/>
      <c r="AJ39" s="178"/>
      <c r="AK39" s="178"/>
    </row>
    <row r="40" spans="1:37" ht="12.75" customHeight="1" x14ac:dyDescent="0.2">
      <c r="A40" s="55" t="s">
        <v>53</v>
      </c>
      <c r="B40" s="53"/>
      <c r="C40" s="53"/>
      <c r="D40" s="65"/>
      <c r="E40" s="94">
        <v>2</v>
      </c>
      <c r="F40" s="53" t="s">
        <v>58</v>
      </c>
      <c r="G40" s="53"/>
      <c r="H40" s="53" t="s">
        <v>56</v>
      </c>
      <c r="I40" s="53"/>
      <c r="J40" s="53"/>
      <c r="K40" s="53"/>
      <c r="L40" s="53"/>
      <c r="M40" s="53"/>
      <c r="N40" s="53"/>
      <c r="O40" s="54"/>
      <c r="P40" s="63"/>
      <c r="Q40" s="97">
        <v>3</v>
      </c>
      <c r="R40" s="63"/>
      <c r="S40" s="48"/>
      <c r="T40" s="48"/>
      <c r="U40" s="48"/>
      <c r="V40" s="72" t="s">
        <v>70</v>
      </c>
      <c r="W40" s="48"/>
      <c r="X40" s="48"/>
      <c r="Y40" s="48"/>
      <c r="Z40" s="48"/>
      <c r="AA40" s="48"/>
      <c r="AB40" s="48"/>
      <c r="AC40" s="48"/>
      <c r="AD40" s="48"/>
    </row>
    <row r="41" spans="1:37" ht="12.75" customHeight="1" thickBot="1" x14ac:dyDescent="0.25">
      <c r="A41" s="74" t="s">
        <v>59</v>
      </c>
      <c r="B41" s="70"/>
      <c r="C41" s="70"/>
      <c r="D41" s="70"/>
      <c r="E41" s="104">
        <f>E40*E39</f>
        <v>4.7</v>
      </c>
      <c r="F41" s="75" t="s">
        <v>52</v>
      </c>
      <c r="G41" s="75"/>
      <c r="H41" s="75" t="s">
        <v>55</v>
      </c>
      <c r="I41" s="75"/>
      <c r="J41" s="75"/>
      <c r="K41" s="75"/>
      <c r="L41" s="75"/>
      <c r="M41" s="75"/>
      <c r="N41" s="75"/>
      <c r="O41" s="76"/>
      <c r="P41" s="63"/>
      <c r="Q41" s="63"/>
      <c r="R41" s="63"/>
      <c r="S41" s="48"/>
      <c r="T41" s="48"/>
      <c r="U41" s="48"/>
      <c r="V41" s="95">
        <v>7</v>
      </c>
      <c r="W41" s="95">
        <v>1</v>
      </c>
      <c r="X41" s="48"/>
      <c r="Y41" s="48"/>
      <c r="Z41" s="48"/>
      <c r="AA41" s="48"/>
      <c r="AB41" s="48"/>
      <c r="AC41" s="48"/>
      <c r="AD41" s="48"/>
    </row>
    <row r="42" spans="1:37" ht="20.100000000000001" customHeight="1" x14ac:dyDescent="0.2">
      <c r="A42" s="180" t="s">
        <v>41</v>
      </c>
      <c r="B42" s="181"/>
      <c r="C42" s="181"/>
      <c r="D42" s="181"/>
      <c r="E42" s="181"/>
      <c r="F42" s="181"/>
      <c r="G42" s="181"/>
      <c r="H42" s="181"/>
      <c r="I42" s="182" t="str">
        <f>+IF(AH37=1,"Souhrnné výsledky","Výsledky jsou mimo rozsah platnosti")</f>
        <v>Souhrnné výsledky</v>
      </c>
      <c r="J42" s="182"/>
      <c r="K42" s="182"/>
      <c r="L42" s="182"/>
      <c r="M42" s="182"/>
      <c r="N42" s="182"/>
      <c r="O42" s="183"/>
      <c r="P42" s="77"/>
      <c r="Q42" s="77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7" ht="12.75" customHeight="1" x14ac:dyDescent="0.2">
      <c r="A43" s="179" t="s">
        <v>28</v>
      </c>
      <c r="B43" s="78" t="s">
        <v>81</v>
      </c>
      <c r="C43" s="78" t="s">
        <v>82</v>
      </c>
      <c r="D43" s="78" t="s">
        <v>84</v>
      </c>
      <c r="E43" s="78" t="s">
        <v>85</v>
      </c>
      <c r="F43" s="78" t="s">
        <v>86</v>
      </c>
      <c r="G43" s="78" t="s">
        <v>87</v>
      </c>
      <c r="H43" s="78" t="s">
        <v>88</v>
      </c>
      <c r="I43" s="67" t="s">
        <v>75</v>
      </c>
      <c r="J43" s="67"/>
      <c r="K43" s="67"/>
      <c r="L43" s="67"/>
      <c r="M43" s="102">
        <f>H57</f>
        <v>1.4833470164230922</v>
      </c>
      <c r="N43" s="67" t="s">
        <v>76</v>
      </c>
      <c r="O43" s="79"/>
      <c r="P43" s="77"/>
      <c r="Q43" s="77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7" ht="12.75" customHeight="1" x14ac:dyDescent="0.2">
      <c r="A44" s="179"/>
      <c r="B44" s="80" t="s">
        <v>25</v>
      </c>
      <c r="C44" s="80" t="s">
        <v>83</v>
      </c>
      <c r="D44" s="80" t="s">
        <v>200</v>
      </c>
      <c r="E44" s="81" t="s">
        <v>18</v>
      </c>
      <c r="F44" s="80" t="s">
        <v>199</v>
      </c>
      <c r="G44" s="80" t="s">
        <v>199</v>
      </c>
      <c r="H44" s="80" t="s">
        <v>199</v>
      </c>
      <c r="I44" s="67" t="s">
        <v>74</v>
      </c>
      <c r="J44" s="67"/>
      <c r="K44" s="67"/>
      <c r="L44" s="67"/>
      <c r="M44" s="73">
        <f>1000*H57/E40/N39</f>
        <v>322.46674270067223</v>
      </c>
      <c r="N44" s="67" t="s">
        <v>80</v>
      </c>
      <c r="O44" s="79"/>
      <c r="P44" s="77"/>
      <c r="Q44" s="77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7" ht="12.75" customHeight="1" x14ac:dyDescent="0.2">
      <c r="A45" s="82" t="s">
        <v>4</v>
      </c>
      <c r="B45" s="98">
        <f>BAZ!R2</f>
        <v>1.8</v>
      </c>
      <c r="C45" s="60">
        <f>G!C45</f>
        <v>443</v>
      </c>
      <c r="D45" s="83">
        <f>H!C44</f>
        <v>34.200000000000003</v>
      </c>
      <c r="E45" s="84">
        <f>IF($E$36-$E$37*($N$37-B45)/C45-$E$38*POWER($N$37-B45,2)/C45&lt;0,0,$E$36-$E$37*($N$37-B45)/C45-$E$38*POWER($N$37-B45,2)/C45)</f>
        <v>0.46122729959775427</v>
      </c>
      <c r="F45" s="84">
        <f>+CHOOSE($Q$40,M12,M12,C12,C12+H12)/1000</f>
        <v>0.3374722</v>
      </c>
      <c r="G45" s="84">
        <f>0.9*E45*D45*$E$41*(1-$N$38/100)/1000</f>
        <v>5.4790357687303975E-2</v>
      </c>
      <c r="H45" s="84">
        <f>MIN(F45,G45)</f>
        <v>5.4790357687303975E-2</v>
      </c>
      <c r="I45" s="53" t="s">
        <v>77</v>
      </c>
      <c r="J45" s="53"/>
      <c r="K45" s="53"/>
      <c r="L45" s="53"/>
      <c r="M45" s="100">
        <f>100*H57/F57</f>
        <v>38.986951111342378</v>
      </c>
      <c r="N45" s="53" t="s">
        <v>16</v>
      </c>
      <c r="O45" s="79"/>
      <c r="P45" s="48"/>
      <c r="Q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7" ht="12.75" customHeight="1" x14ac:dyDescent="0.2">
      <c r="A46" s="82" t="s">
        <v>5</v>
      </c>
      <c r="B46" s="98">
        <f>BAZ!R3</f>
        <v>2.7</v>
      </c>
      <c r="C46" s="60">
        <f>G!D45</f>
        <v>473</v>
      </c>
      <c r="D46" s="83">
        <f>H!D44</f>
        <v>51.1</v>
      </c>
      <c r="E46" s="84">
        <f t="shared" ref="E46:E56" si="3">IF($E$36-$E$37*($N$37-B46)/C46-$E$38*POWER($N$37-B46,2)/C46&lt;0,0,$E$36-$E$37*($N$37-B46)/C46-$E$38*POWER($N$37-B46,2)/C46)</f>
        <v>0.48984194185781327</v>
      </c>
      <c r="F46" s="84">
        <f t="shared" ref="F46:F56" si="4">+CHOOSE($Q$40,M13,M13,C13,C13+H13)/1000</f>
        <v>0.30481360000000002</v>
      </c>
      <c r="G46" s="84">
        <f t="shared" ref="G46:G56" si="5">0.9*E46*D46*$E$41*(1-$N$38/100)/1000</f>
        <v>8.6944055297276696E-2</v>
      </c>
      <c r="H46" s="84">
        <f t="shared" ref="H46:H56" si="6">MIN(F46,G46)</f>
        <v>8.6944055297276696E-2</v>
      </c>
      <c r="I46" s="53"/>
      <c r="J46" s="53"/>
      <c r="K46" s="53"/>
      <c r="L46" s="53"/>
      <c r="M46" s="53"/>
      <c r="N46" s="53"/>
      <c r="O46" s="54"/>
      <c r="P46" s="48"/>
      <c r="Q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7" ht="12.75" customHeight="1" x14ac:dyDescent="0.2">
      <c r="A47" s="82" t="s">
        <v>6</v>
      </c>
      <c r="B47" s="98">
        <f>BAZ!R4</f>
        <v>6.3</v>
      </c>
      <c r="C47" s="60">
        <f>G!E45</f>
        <v>438</v>
      </c>
      <c r="D47" s="83">
        <f>H!E44</f>
        <v>74.400000000000006</v>
      </c>
      <c r="E47" s="84">
        <f t="shared" si="3"/>
        <v>0.50233383015184396</v>
      </c>
      <c r="F47" s="84">
        <f t="shared" si="4"/>
        <v>0.3374722</v>
      </c>
      <c r="G47" s="84">
        <f t="shared" si="5"/>
        <v>0.12981604909566918</v>
      </c>
      <c r="H47" s="84">
        <f t="shared" si="6"/>
        <v>0.12981604909566918</v>
      </c>
      <c r="I47" s="53"/>
      <c r="J47" s="53"/>
      <c r="K47" s="53"/>
      <c r="L47" s="53"/>
      <c r="M47" s="53"/>
      <c r="N47" s="53"/>
      <c r="O47" s="54"/>
      <c r="P47" s="48"/>
      <c r="Q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7" ht="12.75" customHeight="1" x14ac:dyDescent="0.2">
      <c r="A48" s="82" t="s">
        <v>7</v>
      </c>
      <c r="B48" s="98">
        <f>BAZ!R5</f>
        <v>10.7</v>
      </c>
      <c r="C48" s="60">
        <f>G!F45</f>
        <v>355</v>
      </c>
      <c r="D48" s="83">
        <f>H!F44</f>
        <v>85.7</v>
      </c>
      <c r="E48" s="84">
        <f t="shared" si="3"/>
        <v>0.48963002461469501</v>
      </c>
      <c r="F48" s="84">
        <f t="shared" si="4"/>
        <v>0.32658599999999999</v>
      </c>
      <c r="G48" s="84">
        <f t="shared" si="5"/>
        <v>0.14575111573346236</v>
      </c>
      <c r="H48" s="84">
        <f t="shared" si="6"/>
        <v>0.14575111573346236</v>
      </c>
      <c r="I48" s="53"/>
      <c r="J48" s="53"/>
      <c r="K48" s="53"/>
      <c r="L48" s="53"/>
      <c r="M48" s="53"/>
      <c r="N48" s="53"/>
      <c r="O48" s="54"/>
      <c r="P48" s="48"/>
      <c r="Q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ht="12.75" customHeight="1" x14ac:dyDescent="0.2">
      <c r="A49" s="82" t="s">
        <v>8</v>
      </c>
      <c r="B49" s="98">
        <f>BAZ!R6</f>
        <v>16</v>
      </c>
      <c r="C49" s="60">
        <f>G!G45</f>
        <v>299</v>
      </c>
      <c r="D49" s="83">
        <f>H!G44</f>
        <v>87</v>
      </c>
      <c r="E49" s="84">
        <f t="shared" si="3"/>
        <v>0.50717085166176012</v>
      </c>
      <c r="F49" s="84">
        <f t="shared" si="4"/>
        <v>0.3374722</v>
      </c>
      <c r="G49" s="84">
        <f t="shared" si="5"/>
        <v>0.15326273204871421</v>
      </c>
      <c r="H49" s="84">
        <f t="shared" si="6"/>
        <v>0.15326273204871421</v>
      </c>
      <c r="I49" s="53"/>
      <c r="J49" s="53"/>
      <c r="K49" s="53"/>
      <c r="L49" s="53"/>
      <c r="M49" s="53"/>
      <c r="N49" s="53"/>
      <c r="O49" s="54"/>
      <c r="P49" s="48"/>
      <c r="Q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ht="12.75" customHeight="1" x14ac:dyDescent="0.2">
      <c r="A50" s="82" t="s">
        <v>9</v>
      </c>
      <c r="B50" s="98">
        <f>BAZ!R7</f>
        <v>18.600000000000001</v>
      </c>
      <c r="C50" s="60">
        <f>G!H45</f>
        <v>279</v>
      </c>
      <c r="D50" s="83">
        <f>H!H44</f>
        <v>75.599999999999994</v>
      </c>
      <c r="E50" s="84">
        <f t="shared" si="3"/>
        <v>0.5242483018806251</v>
      </c>
      <c r="F50" s="84">
        <f t="shared" si="4"/>
        <v>0.32658599999999999</v>
      </c>
      <c r="G50" s="84">
        <f t="shared" si="5"/>
        <v>0.1376644654137904</v>
      </c>
      <c r="H50" s="84">
        <f t="shared" si="6"/>
        <v>0.1376644654137904</v>
      </c>
      <c r="I50" s="53"/>
      <c r="J50" s="53"/>
      <c r="K50" s="53"/>
      <c r="L50" s="53"/>
      <c r="M50" s="53"/>
      <c r="N50" s="53"/>
      <c r="O50" s="54"/>
      <c r="P50" s="48"/>
      <c r="Q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ht="12.75" customHeight="1" x14ac:dyDescent="0.2">
      <c r="A51" s="82" t="s">
        <v>10</v>
      </c>
      <c r="B51" s="98">
        <f>BAZ!R8</f>
        <v>20.5</v>
      </c>
      <c r="C51" s="60">
        <f>G!I45</f>
        <v>285</v>
      </c>
      <c r="D51" s="83">
        <f>H!I44</f>
        <v>78.099999999999994</v>
      </c>
      <c r="E51" s="84">
        <f t="shared" si="3"/>
        <v>0.555360731689715</v>
      </c>
      <c r="F51" s="84">
        <f t="shared" si="4"/>
        <v>0.25310415000000003</v>
      </c>
      <c r="G51" s="84">
        <f t="shared" si="5"/>
        <v>0.1506569694561983</v>
      </c>
      <c r="H51" s="84">
        <f t="shared" si="6"/>
        <v>0.1506569694561983</v>
      </c>
      <c r="I51" s="53"/>
      <c r="J51" s="53"/>
      <c r="K51" s="53"/>
      <c r="L51" s="53"/>
      <c r="M51" s="53"/>
      <c r="N51" s="53"/>
      <c r="O51" s="54"/>
      <c r="P51" s="48"/>
      <c r="Q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ht="12.75" customHeight="1" x14ac:dyDescent="0.2">
      <c r="A52" s="82" t="s">
        <v>11</v>
      </c>
      <c r="B52" s="98">
        <f>BAZ!R9</f>
        <v>21.1</v>
      </c>
      <c r="C52" s="60">
        <f>G!J45</f>
        <v>325</v>
      </c>
      <c r="D52" s="83">
        <f>H!J44</f>
        <v>96</v>
      </c>
      <c r="E52" s="84">
        <f t="shared" si="3"/>
        <v>0.59005952322932032</v>
      </c>
      <c r="F52" s="84">
        <f t="shared" si="4"/>
        <v>0.25310415000000003</v>
      </c>
      <c r="G52" s="84">
        <f t="shared" si="5"/>
        <v>0.1967569500063473</v>
      </c>
      <c r="H52" s="84">
        <f t="shared" si="6"/>
        <v>0.1967569500063473</v>
      </c>
      <c r="I52" s="53"/>
      <c r="J52" s="53"/>
      <c r="K52" s="53"/>
      <c r="L52" s="53"/>
      <c r="M52" s="53"/>
      <c r="N52" s="53"/>
      <c r="O52" s="54"/>
      <c r="P52" s="48"/>
      <c r="Q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ht="12.75" customHeight="1" x14ac:dyDescent="0.2">
      <c r="A53" s="82" t="s">
        <v>12</v>
      </c>
      <c r="B53" s="98">
        <f>BAZ!R10</f>
        <v>17.100000000000001</v>
      </c>
      <c r="C53" s="60">
        <f>G!K45</f>
        <v>393</v>
      </c>
      <c r="D53" s="83">
        <f>H!K44</f>
        <v>77.8</v>
      </c>
      <c r="E53" s="84">
        <f t="shared" si="3"/>
        <v>0.58349830770939848</v>
      </c>
      <c r="F53" s="84">
        <f t="shared" si="4"/>
        <v>0.32658599999999999</v>
      </c>
      <c r="G53" s="84">
        <f t="shared" si="5"/>
        <v>0.15768203730723263</v>
      </c>
      <c r="H53" s="84">
        <f t="shared" si="6"/>
        <v>0.15768203730723263</v>
      </c>
      <c r="I53" s="53"/>
      <c r="J53" s="53"/>
      <c r="K53" s="53"/>
      <c r="L53" s="53"/>
      <c r="M53" s="53"/>
      <c r="N53" s="53"/>
      <c r="O53" s="54"/>
      <c r="P53" s="48"/>
      <c r="Q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ht="12.75" customHeight="1" x14ac:dyDescent="0.2">
      <c r="A54" s="82" t="s">
        <v>13</v>
      </c>
      <c r="B54" s="98">
        <f>BAZ!R11</f>
        <v>11.7</v>
      </c>
      <c r="C54" s="60">
        <f>G!L45</f>
        <v>444</v>
      </c>
      <c r="D54" s="83">
        <f>H!L44</f>
        <v>74.400000000000006</v>
      </c>
      <c r="E54" s="84">
        <f t="shared" si="3"/>
        <v>0.5571285726760149</v>
      </c>
      <c r="F54" s="84">
        <f t="shared" si="4"/>
        <v>0.3374722</v>
      </c>
      <c r="G54" s="84">
        <f t="shared" si="5"/>
        <v>0.14397642723216089</v>
      </c>
      <c r="H54" s="84">
        <f t="shared" si="6"/>
        <v>0.14397642723216089</v>
      </c>
      <c r="I54" s="53"/>
      <c r="J54" s="53"/>
      <c r="K54" s="53"/>
      <c r="L54" s="53"/>
      <c r="M54" s="53"/>
      <c r="N54" s="53"/>
      <c r="O54" s="54"/>
      <c r="P54" s="48"/>
      <c r="Q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ht="12.75" customHeight="1" x14ac:dyDescent="0.2">
      <c r="A55" s="82" t="s">
        <v>14</v>
      </c>
      <c r="B55" s="98">
        <f>BAZ!R12</f>
        <v>6.4</v>
      </c>
      <c r="C55" s="60">
        <f>G!M45</f>
        <v>438</v>
      </c>
      <c r="D55" s="83">
        <f>H!M44</f>
        <v>45.4</v>
      </c>
      <c r="E55" s="84">
        <f t="shared" si="3"/>
        <v>0.50331137068379228</v>
      </c>
      <c r="F55" s="84">
        <f t="shared" si="4"/>
        <v>0.32658599999999999</v>
      </c>
      <c r="G55" s="84">
        <f t="shared" si="5"/>
        <v>7.9369860971123626E-2</v>
      </c>
      <c r="H55" s="84">
        <f t="shared" si="6"/>
        <v>7.9369860971123626E-2</v>
      </c>
      <c r="I55" s="53"/>
      <c r="J55" s="53"/>
      <c r="K55" s="53"/>
      <c r="L55" s="53"/>
      <c r="M55" s="53"/>
      <c r="N55" s="53"/>
      <c r="O55" s="54"/>
      <c r="P55" s="48"/>
      <c r="Q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ht="12.75" customHeight="1" thickBot="1" x14ac:dyDescent="0.25">
      <c r="A56" s="82" t="s">
        <v>15</v>
      </c>
      <c r="B56" s="98">
        <f>BAZ!R13</f>
        <v>3.6</v>
      </c>
      <c r="C56" s="60">
        <f>G!N45</f>
        <v>421</v>
      </c>
      <c r="D56" s="85">
        <f>H!N44</f>
        <v>29</v>
      </c>
      <c r="E56" s="84">
        <f t="shared" si="3"/>
        <v>0.46337497215127355</v>
      </c>
      <c r="F56" s="84">
        <f t="shared" si="4"/>
        <v>0.3374722</v>
      </c>
      <c r="G56" s="84">
        <f t="shared" si="5"/>
        <v>4.6675996173812774E-2</v>
      </c>
      <c r="H56" s="84">
        <f t="shared" si="6"/>
        <v>4.6675996173812774E-2</v>
      </c>
      <c r="I56" s="53"/>
      <c r="J56" s="53"/>
      <c r="K56" s="53"/>
      <c r="L56" s="53"/>
      <c r="M56" s="53"/>
      <c r="N56" s="53"/>
      <c r="O56" s="54"/>
      <c r="P56" s="48"/>
      <c r="Q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ht="12.75" customHeight="1" thickBot="1" x14ac:dyDescent="0.25">
      <c r="A57" s="86" t="s">
        <v>73</v>
      </c>
      <c r="B57" s="75"/>
      <c r="C57" s="75"/>
      <c r="D57" s="87">
        <f>SUM(D45:D56)</f>
        <v>808.69999999999993</v>
      </c>
      <c r="E57" s="75"/>
      <c r="F57" s="99">
        <f>SUM(F45:F56)</f>
        <v>3.8047268999999999</v>
      </c>
      <c r="G57" s="75"/>
      <c r="H57" s="99">
        <f>SUM(H45:H56)</f>
        <v>1.4833470164230922</v>
      </c>
      <c r="I57" s="75"/>
      <c r="J57" s="75"/>
      <c r="K57" s="75"/>
      <c r="L57" s="75"/>
      <c r="M57" s="75"/>
      <c r="N57" s="75"/>
      <c r="O57" s="8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ht="13.5" thickBot="1" x14ac:dyDescent="0.25">
      <c r="A58" s="194" t="s">
        <v>26</v>
      </c>
      <c r="B58" s="195"/>
      <c r="C58" s="195"/>
      <c r="D58" s="195"/>
      <c r="E58" s="195"/>
      <c r="F58" s="195"/>
      <c r="G58" s="195"/>
      <c r="H58" s="195" t="s">
        <v>214</v>
      </c>
      <c r="I58" s="195"/>
      <c r="J58" s="195"/>
      <c r="K58" s="195"/>
      <c r="L58" s="195"/>
      <c r="M58" s="195"/>
      <c r="N58" s="195"/>
      <c r="O58" s="196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</sheetData>
  <sheetProtection algorithmName="SHA-512" hashValue="X9t/lueTDNpCoV1Fsuj0PYLa+hEjTPVF4HI1zEBA80Vf/TGjiCm7fs+G6KOqyARSJecBe9miUTJa2Dsxqv21hw==" saltValue="PmPzD9z+UA1y/399yNAavQ==" spinCount="100000" sheet="1" objects="1" scenarios="1" selectLockedCells="1"/>
  <dataConsolidate/>
  <mergeCells count="71">
    <mergeCell ref="A5:B5"/>
    <mergeCell ref="I3:J3"/>
    <mergeCell ref="I4:J4"/>
    <mergeCell ref="C20:D20"/>
    <mergeCell ref="C21:D21"/>
    <mergeCell ref="C12:D12"/>
    <mergeCell ref="C18:D18"/>
    <mergeCell ref="C19:D19"/>
    <mergeCell ref="G10:G11"/>
    <mergeCell ref="H10:I11"/>
    <mergeCell ref="H12:I12"/>
    <mergeCell ref="H13:I13"/>
    <mergeCell ref="H14:I14"/>
    <mergeCell ref="C5:G5"/>
    <mergeCell ref="M1:O1"/>
    <mergeCell ref="A1:L1"/>
    <mergeCell ref="C3:G3"/>
    <mergeCell ref="A3:B3"/>
    <mergeCell ref="A4:B4"/>
    <mergeCell ref="K3:N3"/>
    <mergeCell ref="K4:N4"/>
    <mergeCell ref="C4:G4"/>
    <mergeCell ref="A58:G58"/>
    <mergeCell ref="H58:O58"/>
    <mergeCell ref="C23:D23"/>
    <mergeCell ref="B10:B11"/>
    <mergeCell ref="C10:D11"/>
    <mergeCell ref="A33:O33"/>
    <mergeCell ref="H19:I19"/>
    <mergeCell ref="H20:I20"/>
    <mergeCell ref="H21:I21"/>
    <mergeCell ref="H22:I22"/>
    <mergeCell ref="C15:D15"/>
    <mergeCell ref="C14:D14"/>
    <mergeCell ref="C13:D13"/>
    <mergeCell ref="C22:D22"/>
    <mergeCell ref="C16:D16"/>
    <mergeCell ref="C17:D17"/>
    <mergeCell ref="M18:N18"/>
    <mergeCell ref="H15:I15"/>
    <mergeCell ref="H16:I16"/>
    <mergeCell ref="H17:I17"/>
    <mergeCell ref="H18:I18"/>
    <mergeCell ref="M13:N13"/>
    <mergeCell ref="M14:N14"/>
    <mergeCell ref="M15:N15"/>
    <mergeCell ref="M16:N16"/>
    <mergeCell ref="M17:N17"/>
    <mergeCell ref="A43:A44"/>
    <mergeCell ref="A42:H42"/>
    <mergeCell ref="I42:O42"/>
    <mergeCell ref="A7:D7"/>
    <mergeCell ref="F7:I7"/>
    <mergeCell ref="K7:N7"/>
    <mergeCell ref="M19:N19"/>
    <mergeCell ref="M20:N20"/>
    <mergeCell ref="M21:N21"/>
    <mergeCell ref="M22:N22"/>
    <mergeCell ref="M23:N23"/>
    <mergeCell ref="I34:N34"/>
    <mergeCell ref="H23:I23"/>
    <mergeCell ref="L10:L11"/>
    <mergeCell ref="M10:N11"/>
    <mergeCell ref="M12:N12"/>
    <mergeCell ref="AD39:AG39"/>
    <mergeCell ref="AH39:AK39"/>
    <mergeCell ref="AH36:AK36"/>
    <mergeCell ref="AD37:AG37"/>
    <mergeCell ref="AH37:AK37"/>
    <mergeCell ref="AD38:AG38"/>
    <mergeCell ref="AH38:AK38"/>
  </mergeCells>
  <conditionalFormatting sqref="I42:O42">
    <cfRule type="containsText" dxfId="1" priority="1" operator="containsText" text="Souhrnné výsledky">
      <formula>NOT(ISERROR(SEARCH("Souhrnné výsledky",I42)))</formula>
    </cfRule>
    <cfRule type="containsText" dxfId="0" priority="2" operator="containsText" text="Výsledky jsou mimo rozsah platnosti">
      <formula>NOT(ISERROR(SEARCH("Výsledky jsou mimo rozsah platnosti",I42)))</formula>
    </cfRule>
  </conditionalFormatting>
  <dataValidations count="22">
    <dataValidation type="decimal" operator="greaterThanOrEqual" allowBlank="1" showInputMessage="1" showErrorMessage="1" errorTitle="Nevhodná hodnota" error="Nevhodná hodnota, vložte číslo větší nebo rovno 0" sqref="C12:D23">
      <formula1>0</formula1>
    </dataValidation>
    <dataValidation type="decimal" operator="greaterThanOrEqual" allowBlank="1" showInputMessage="1" showErrorMessage="1" errorTitle="Chybnáhodnota" error="Zadejte číslo větší nebo rovno 0" sqref="H12:I23">
      <formula1>0</formula1>
    </dataValidation>
    <dataValidation type="decimal" allowBlank="1" showErrorMessage="1" errorTitle="Eta0" error="Je velmi nepravděpodobné, že by Eta 0 byla nižší než 0 nebo vyšší než 0,95. Zkontrolujte údaje od výrobce!" sqref="E36">
      <formula1>0</formula1>
      <formula2>0.95</formula2>
    </dataValidation>
    <dataValidation type="decimal" operator="greaterThanOrEqual" allowBlank="1" showInputMessage="1" showErrorMessage="1" errorTitle="a1" error="Hodnota součinitele a1 musí být kladná!" sqref="E37">
      <formula1>0</formula1>
    </dataValidation>
    <dataValidation type="decimal" operator="greaterThanOrEqual" allowBlank="1" showInputMessage="1" showErrorMessage="1" errorTitle="a2" error="Hodnota součinitele a2 musí být kladná!" sqref="E38">
      <formula1>0</formula1>
    </dataValidation>
    <dataValidation type="decimal" operator="greaterThanOrEqual" allowBlank="1" showInputMessage="1" showErrorMessage="1" errorTitle="Plocha kolektoru" error="Plocha kolektoru musí být kladné číslo!" sqref="E39">
      <formula1>0</formula1>
    </dataValidation>
    <dataValidation type="whole" operator="greaterThanOrEqual" allowBlank="1" showInputMessage="1" showErrorMessage="1" errorTitle="Počet kolektorů" error="Plocha kolektoru musí být celé kladné číslo!" sqref="E40">
      <formula1>0</formula1>
    </dataValidation>
    <dataValidation type="decimal" operator="greaterThan" allowBlank="1" showInputMessage="1" showErrorMessage="1" errorTitle="Plocha apertury" error="Plocha apertury musí být kladné číslo!" sqref="N39">
      <formula1>0</formula1>
    </dataValidation>
    <dataValidation type="decimal" errorStyle="warning" allowBlank="1" showInputMessage="1" showErrorMessage="1" errorTitle="Teplota studené vody" error="Je velmi nepravděpodobné, že by teplota studené vody byla nižší než 5 °C nebo vyšší než 20 °C." sqref="D28">
      <formula1>5</formula1>
      <formula2>20</formula2>
    </dataValidation>
    <dataValidation type="decimal" allowBlank="1" showInputMessage="1" showErrorMessage="1" errorTitle="Teplota teplé vody" error="Je velmi nepravděpodobné, že by teplota teplé vody byla nižší než studené vody nebo vyšší než 95 °C" sqref="D29">
      <formula1>D28</formula1>
      <formula2>95</formula2>
    </dataValidation>
    <dataValidation type="whole" operator="greaterThan" allowBlank="1" showInputMessage="1" showErrorMessage="1" errorTitle="Počet osob" error="Počet osob musí být celé kladné číslo!" sqref="D26">
      <formula1>0</formula1>
    </dataValidation>
    <dataValidation type="decimal" operator="greaterThanOrEqual" allowBlank="1" showInputMessage="1" showErrorMessage="1" errorTitle="Potřeba teplé vody" error="Měrná potřeba teplé vody musí být hodnota vyšší než 0!" sqref="D27">
      <formula1>0</formula1>
    </dataValidation>
    <dataValidation type="decimal" operator="greaterThanOrEqual" allowBlank="1" showErrorMessage="1" errorTitle="Tepelná ztráta" error="Tepelná ztráta musí být kladná hodnota!" promptTitle="Tepelná ztráta domu" prompt="&gt; 0" sqref="I26">
      <formula1>0</formula1>
    </dataValidation>
    <dataValidation type="decimal" errorStyle="warning" allowBlank="1" showInputMessage="1" showErrorMessage="1" errorTitle="Náverhová vnitřní teplota vzd." error="Vnitřní návrhová teplota vzduchu by se měla pohybovat od 15 °C do 26 °C." sqref="I27">
      <formula1>15</formula1>
      <formula2>26</formula2>
    </dataValidation>
    <dataValidation type="decimal" errorStyle="warning" allowBlank="1" showInputMessage="1" showErrorMessage="1" errorTitle="Návrhová venkovní teplota" error="Návrhová venkovní teplota vzduchu by se měla pohybovat mezi -21 °C až -8 °C" sqref="I28">
      <formula1>-21</formula1>
      <formula2>-8</formula2>
    </dataValidation>
    <dataValidation type="decimal" operator="greaterThanOrEqual" allowBlank="1" showInputMessage="1" showErrorMessage="1" errorTitle="Potřeba tepla pro bazén" error="Potřeba tepla pro bazém musí být hodnota vyšší nebo rovna 0!" sqref="M12:N23">
      <formula1>0</formula1>
    </dataValidation>
    <dataValidation type="decimal" allowBlank="1" showInputMessage="1" showErrorMessage="1" errorTitle="Teplota přívodní vody" error="Teplota přívodní vody by se měla pohybovat mezi 20 °C - 75 °C" sqref="I29">
      <formula1>20</formula1>
      <formula2>75</formula2>
    </dataValidation>
    <dataValidation type="decimal" errorStyle="warning" allowBlank="1" showInputMessage="1" showErrorMessage="1" errorTitle="Přirážka na ztráty" error="Přirážka na ztráty msí být číslo větší než 0 a neměla by přesánout 20 %" sqref="I30">
      <formula1>0</formula1>
      <formula2>20</formula2>
    </dataValidation>
    <dataValidation type="decimal" operator="greaterThanOrEqual" allowBlank="1" showInputMessage="1" showErrorMessage="1" errorTitle="Plocha bazénu" error="Plocha bazénu musí být větěí než 0 m2" sqref="N26">
      <formula1>0</formula1>
    </dataValidation>
    <dataValidation type="decimal" allowBlank="1" showInputMessage="1" showErrorMessage="1" errorTitle="Doba provozu" error="Doba provozu musí být mezi 0 h až 24 h!" sqref="N27">
      <formula1>0</formula1>
      <formula2>24</formula2>
    </dataValidation>
    <dataValidation type="decimal" errorStyle="warning" allowBlank="1" showInputMessage="1" showErrorMessage="1" errorTitle="Teplota" error="Teplota by se měla pohybovat mezi 10 °C a 37 °C." sqref="N28:N31">
      <formula1>10</formula1>
      <formula2>37</formula2>
    </dataValidation>
    <dataValidation type="whole" operator="greaterThanOrEqual" allowBlank="1" showInputMessage="1" showErrorMessage="1" errorTitle="Počet návětěvníku" error="Počet návštěvníků za měsíc musí být celé kladné číslo." sqref="N32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4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locked="0" defaultSize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10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locked="0" defaultSize="0" autoLine="0" autoPict="0">
                <anchor moveWithCells="1">
                  <from>
                    <xdr:col>10</xdr:col>
                    <xdr:colOff>0</xdr:colOff>
                    <xdr:row>7</xdr:row>
                    <xdr:rowOff>0</xdr:rowOff>
                  </from>
                  <to>
                    <xdr:col>15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locked="0" defaultSize="0" autoLine="0" autoPict="0">
                <anchor mov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14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locked="0" defaultSize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4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locked="0" defaultSize="0" autoLine="0" autoPict="0">
                <anchor moveWithCells="1">
                  <from>
                    <xdr:col>12</xdr:col>
                    <xdr:colOff>0</xdr:colOff>
                    <xdr:row>39</xdr:row>
                    <xdr:rowOff>0</xdr:rowOff>
                  </from>
                  <to>
                    <xdr:col>14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locked="0" defaultSize="0" autoLine="0" autoPict="0">
                <anchor moveWithCells="1">
                  <from>
                    <xdr:col>12</xdr:col>
                    <xdr:colOff>0</xdr:colOff>
                    <xdr:row>40</xdr:row>
                    <xdr:rowOff>0</xdr:rowOff>
                  </from>
                  <to>
                    <xdr:col>14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Drop Down 9">
              <controlPr locked="0" defaultSize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3</xdr:col>
                    <xdr:colOff>381000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Drop Down 10">
              <controlPr locked="0" defaultSize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Drop Down 11">
              <controlPr locked="0" defaultSize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Button 12">
              <controlPr defaultSize="0" print="0" autoFill="0" autoPict="0" macro="[0]!prepocet" altText="PŘEPOČET HODNOT A KONTROLA">
                <anchor moveWithCells="1" sizeWithCells="1">
                  <from>
                    <xdr:col>2</xdr:col>
                    <xdr:colOff>361950</xdr:colOff>
                    <xdr:row>41</xdr:row>
                    <xdr:rowOff>28575</xdr:rowOff>
                  </from>
                  <to>
                    <xdr:col>7</xdr:col>
                    <xdr:colOff>333375</xdr:colOff>
                    <xdr:row>41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45"/>
  <sheetViews>
    <sheetView topLeftCell="A22" workbookViewId="0">
      <selection activeCell="M16" sqref="M16:N16"/>
    </sheetView>
  </sheetViews>
  <sheetFormatPr defaultRowHeight="12.75" x14ac:dyDescent="0.2"/>
  <cols>
    <col min="1" max="16384" width="9.140625" style="1"/>
  </cols>
  <sheetData>
    <row r="1" spans="1:15" ht="37.5" thickTop="1" thickBot="1" x14ac:dyDescent="0.25">
      <c r="A1" s="3"/>
      <c r="B1" s="120" t="s">
        <v>102</v>
      </c>
      <c r="C1" s="207" t="s">
        <v>103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  <c r="O1" s="3"/>
    </row>
    <row r="2" spans="1:15" ht="13.5" thickBot="1" x14ac:dyDescent="0.25">
      <c r="A2" s="3"/>
      <c r="B2" s="121" t="s">
        <v>104</v>
      </c>
      <c r="C2" s="122" t="s">
        <v>4</v>
      </c>
      <c r="D2" s="122" t="s">
        <v>5</v>
      </c>
      <c r="E2" s="122" t="s">
        <v>6</v>
      </c>
      <c r="F2" s="122" t="s">
        <v>7</v>
      </c>
      <c r="G2" s="122" t="s">
        <v>8</v>
      </c>
      <c r="H2" s="122" t="s">
        <v>105</v>
      </c>
      <c r="I2" s="122" t="s">
        <v>10</v>
      </c>
      <c r="J2" s="122" t="s">
        <v>11</v>
      </c>
      <c r="K2" s="122" t="s">
        <v>12</v>
      </c>
      <c r="L2" s="122" t="s">
        <v>13</v>
      </c>
      <c r="M2" s="122" t="s">
        <v>14</v>
      </c>
      <c r="N2" s="123" t="s">
        <v>15</v>
      </c>
      <c r="O2" s="3"/>
    </row>
    <row r="3" spans="1:15" ht="14.25" thickTop="1" thickBot="1" x14ac:dyDescent="0.25">
      <c r="A3" s="3"/>
      <c r="B3" s="210" t="s">
        <v>106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/>
      <c r="O3" s="3"/>
    </row>
    <row r="4" spans="1:15" ht="13.5" thickBot="1" x14ac:dyDescent="0.25">
      <c r="A4" s="3">
        <v>0</v>
      </c>
      <c r="B4" s="124">
        <v>0</v>
      </c>
      <c r="C4" s="125">
        <v>20.8</v>
      </c>
      <c r="D4" s="125">
        <v>37</v>
      </c>
      <c r="E4" s="125">
        <v>72.2</v>
      </c>
      <c r="F4" s="125">
        <v>113.8</v>
      </c>
      <c r="G4" s="125">
        <v>148.80000000000001</v>
      </c>
      <c r="H4" s="125">
        <v>146.19999999999999</v>
      </c>
      <c r="I4" s="125">
        <v>144.30000000000001</v>
      </c>
      <c r="J4" s="125">
        <v>136.19999999999999</v>
      </c>
      <c r="K4" s="125">
        <v>87.1</v>
      </c>
      <c r="L4" s="125">
        <v>56.5</v>
      </c>
      <c r="M4" s="125">
        <v>25.2</v>
      </c>
      <c r="N4" s="126">
        <v>14.9</v>
      </c>
      <c r="O4" s="3"/>
    </row>
    <row r="5" spans="1:15" ht="13.5" thickBot="1" x14ac:dyDescent="0.25">
      <c r="A5" s="3"/>
      <c r="B5" s="124">
        <v>15</v>
      </c>
      <c r="C5" s="125">
        <v>27.5</v>
      </c>
      <c r="D5" s="125">
        <v>46.4</v>
      </c>
      <c r="E5" s="125">
        <v>89</v>
      </c>
      <c r="F5" s="125">
        <v>124.6</v>
      </c>
      <c r="G5" s="125">
        <v>155.5</v>
      </c>
      <c r="H5" s="125">
        <v>149.80000000000001</v>
      </c>
      <c r="I5" s="125">
        <v>148.80000000000001</v>
      </c>
      <c r="J5" s="125">
        <v>147.30000000000001</v>
      </c>
      <c r="K5" s="125">
        <v>97.9</v>
      </c>
      <c r="L5" s="125">
        <v>69.900000000000006</v>
      </c>
      <c r="M5" s="125">
        <v>33.799999999999997</v>
      </c>
      <c r="N5" s="126">
        <v>20.8</v>
      </c>
      <c r="O5" s="3"/>
    </row>
    <row r="6" spans="1:15" ht="13.5" thickBot="1" x14ac:dyDescent="0.25">
      <c r="A6" s="3"/>
      <c r="B6" s="124">
        <v>30</v>
      </c>
      <c r="C6" s="125">
        <v>32</v>
      </c>
      <c r="D6" s="125">
        <v>53.1</v>
      </c>
      <c r="E6" s="125">
        <v>90.8</v>
      </c>
      <c r="F6" s="125">
        <v>128.9</v>
      </c>
      <c r="G6" s="125">
        <v>154.80000000000001</v>
      </c>
      <c r="H6" s="125">
        <v>146.19999999999999</v>
      </c>
      <c r="I6" s="125">
        <v>145.80000000000001</v>
      </c>
      <c r="J6" s="125">
        <v>151.80000000000001</v>
      </c>
      <c r="K6" s="125">
        <v>104.4</v>
      </c>
      <c r="L6" s="125">
        <v>79.599999999999994</v>
      </c>
      <c r="M6" s="125">
        <v>41</v>
      </c>
      <c r="N6" s="126">
        <v>25.3</v>
      </c>
      <c r="O6" s="3"/>
    </row>
    <row r="7" spans="1:15" ht="13.5" thickBot="1" x14ac:dyDescent="0.25">
      <c r="A7" s="3"/>
      <c r="B7" s="124">
        <v>45</v>
      </c>
      <c r="C7" s="125">
        <v>35.700000000000003</v>
      </c>
      <c r="D7" s="125">
        <v>57.1</v>
      </c>
      <c r="E7" s="125">
        <v>93</v>
      </c>
      <c r="F7" s="125">
        <v>127.4</v>
      </c>
      <c r="G7" s="125">
        <v>147.30000000000001</v>
      </c>
      <c r="H7" s="125">
        <v>136.1</v>
      </c>
      <c r="I7" s="125">
        <v>136.9</v>
      </c>
      <c r="J7" s="125">
        <v>148.1</v>
      </c>
      <c r="K7" s="125">
        <v>105.1</v>
      </c>
      <c r="L7" s="125">
        <v>85.6</v>
      </c>
      <c r="M7" s="125">
        <v>46.1</v>
      </c>
      <c r="N7" s="126">
        <v>29</v>
      </c>
      <c r="O7" s="3"/>
    </row>
    <row r="8" spans="1:15" ht="13.5" thickBot="1" x14ac:dyDescent="0.25">
      <c r="A8" s="3"/>
      <c r="B8" s="124">
        <v>60</v>
      </c>
      <c r="C8" s="125">
        <v>37.200000000000003</v>
      </c>
      <c r="D8" s="125">
        <v>57.8</v>
      </c>
      <c r="E8" s="125">
        <v>91.5</v>
      </c>
      <c r="F8" s="125">
        <v>118.8</v>
      </c>
      <c r="G8" s="125">
        <v>132.4</v>
      </c>
      <c r="H8" s="125">
        <v>120.2</v>
      </c>
      <c r="I8" s="125">
        <v>121.3</v>
      </c>
      <c r="J8" s="125">
        <v>136.9</v>
      </c>
      <c r="K8" s="125">
        <v>100.8</v>
      </c>
      <c r="L8" s="125">
        <v>86.3</v>
      </c>
      <c r="M8" s="125">
        <v>48.2</v>
      </c>
      <c r="N8" s="126">
        <v>30.5</v>
      </c>
      <c r="O8" s="3"/>
    </row>
    <row r="9" spans="1:15" ht="13.5" thickBot="1" x14ac:dyDescent="0.25">
      <c r="A9" s="3"/>
      <c r="B9" s="124">
        <v>75</v>
      </c>
      <c r="C9" s="125">
        <v>36.5</v>
      </c>
      <c r="D9" s="125">
        <v>55.8</v>
      </c>
      <c r="E9" s="125">
        <v>84.8</v>
      </c>
      <c r="F9" s="125">
        <v>105.1</v>
      </c>
      <c r="G9" s="125">
        <v>111.6</v>
      </c>
      <c r="H9" s="125">
        <v>99.4</v>
      </c>
      <c r="I9" s="125">
        <v>101.2</v>
      </c>
      <c r="J9" s="125">
        <v>119</v>
      </c>
      <c r="K9" s="125">
        <v>91.4</v>
      </c>
      <c r="L9" s="125">
        <v>82.6</v>
      </c>
      <c r="M9" s="125">
        <v>48.2</v>
      </c>
      <c r="N9" s="126">
        <v>30.5</v>
      </c>
      <c r="O9" s="3"/>
    </row>
    <row r="10" spans="1:15" ht="13.5" thickBot="1" x14ac:dyDescent="0.25">
      <c r="A10" s="3"/>
      <c r="B10" s="127">
        <v>90</v>
      </c>
      <c r="C10" s="122">
        <v>34.200000000000003</v>
      </c>
      <c r="D10" s="122">
        <v>51.1</v>
      </c>
      <c r="E10" s="122">
        <v>74.400000000000006</v>
      </c>
      <c r="F10" s="122">
        <v>85.7</v>
      </c>
      <c r="G10" s="122">
        <v>87</v>
      </c>
      <c r="H10" s="122">
        <v>75.599999999999994</v>
      </c>
      <c r="I10" s="122">
        <v>78.099999999999994</v>
      </c>
      <c r="J10" s="122">
        <v>96</v>
      </c>
      <c r="K10" s="122">
        <v>77.8</v>
      </c>
      <c r="L10" s="122">
        <v>74.400000000000006</v>
      </c>
      <c r="M10" s="122">
        <v>45.4</v>
      </c>
      <c r="N10" s="123">
        <v>29</v>
      </c>
      <c r="O10" s="3"/>
    </row>
    <row r="11" spans="1:15" ht="14.25" thickTop="1" thickBot="1" x14ac:dyDescent="0.25">
      <c r="A11" s="3"/>
      <c r="B11" s="210" t="s">
        <v>107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3"/>
    </row>
    <row r="12" spans="1:15" ht="13.5" thickBot="1" x14ac:dyDescent="0.25">
      <c r="A12" s="3">
        <v>15</v>
      </c>
      <c r="B12" s="124">
        <v>15</v>
      </c>
      <c r="C12" s="125">
        <v>26.8</v>
      </c>
      <c r="D12" s="125">
        <v>45.7</v>
      </c>
      <c r="E12" s="125">
        <v>82.6</v>
      </c>
      <c r="F12" s="125">
        <v>123.8</v>
      </c>
      <c r="G12" s="125">
        <v>155.5</v>
      </c>
      <c r="H12" s="125">
        <v>149.80000000000001</v>
      </c>
      <c r="I12" s="125">
        <v>148.80000000000001</v>
      </c>
      <c r="J12" s="125">
        <v>147.30000000000001</v>
      </c>
      <c r="K12" s="125">
        <v>97.2</v>
      </c>
      <c r="L12" s="125">
        <v>69.2</v>
      </c>
      <c r="M12" s="125">
        <v>33.799999999999997</v>
      </c>
      <c r="N12" s="126">
        <v>20.8</v>
      </c>
      <c r="O12" s="3"/>
    </row>
    <row r="13" spans="1:15" ht="13.5" thickBot="1" x14ac:dyDescent="0.25">
      <c r="A13" s="3"/>
      <c r="B13" s="124">
        <v>30</v>
      </c>
      <c r="C13" s="125">
        <v>32</v>
      </c>
      <c r="D13" s="125">
        <v>52.4</v>
      </c>
      <c r="E13" s="125">
        <v>90</v>
      </c>
      <c r="F13" s="125">
        <v>128.19999999999999</v>
      </c>
      <c r="G13" s="125">
        <v>154.80000000000001</v>
      </c>
      <c r="H13" s="125">
        <v>146.9</v>
      </c>
      <c r="I13" s="125">
        <v>145.80000000000001</v>
      </c>
      <c r="J13" s="125">
        <v>151</v>
      </c>
      <c r="K13" s="125">
        <v>103</v>
      </c>
      <c r="L13" s="125">
        <v>78.900000000000006</v>
      </c>
      <c r="M13" s="125">
        <v>40.299999999999997</v>
      </c>
      <c r="N13" s="126">
        <v>25.3</v>
      </c>
      <c r="O13" s="3"/>
    </row>
    <row r="14" spans="1:15" ht="13.5" thickBot="1" x14ac:dyDescent="0.25">
      <c r="A14" s="3"/>
      <c r="B14" s="124">
        <v>45</v>
      </c>
      <c r="C14" s="125">
        <v>35</v>
      </c>
      <c r="D14" s="125">
        <v>55.8</v>
      </c>
      <c r="E14" s="125">
        <v>92.3</v>
      </c>
      <c r="F14" s="125">
        <v>126</v>
      </c>
      <c r="G14" s="125">
        <v>146.6</v>
      </c>
      <c r="H14" s="125">
        <v>136.80000000000001</v>
      </c>
      <c r="I14" s="125">
        <v>136.9</v>
      </c>
      <c r="J14" s="125">
        <v>147.30000000000001</v>
      </c>
      <c r="K14" s="125">
        <v>103.7</v>
      </c>
      <c r="L14" s="125">
        <v>84.1</v>
      </c>
      <c r="M14" s="125">
        <v>44.6</v>
      </c>
      <c r="N14" s="126">
        <v>28.3</v>
      </c>
      <c r="O14" s="3"/>
    </row>
    <row r="15" spans="1:15" ht="13.5" thickBot="1" x14ac:dyDescent="0.25">
      <c r="A15" s="3"/>
      <c r="B15" s="124">
        <v>60</v>
      </c>
      <c r="C15" s="125">
        <v>36.5</v>
      </c>
      <c r="D15" s="125">
        <v>56.4</v>
      </c>
      <c r="E15" s="125">
        <v>90</v>
      </c>
      <c r="F15" s="125">
        <v>118.1</v>
      </c>
      <c r="G15" s="125">
        <v>132.4</v>
      </c>
      <c r="H15" s="125">
        <v>121.7</v>
      </c>
      <c r="I15" s="125">
        <v>122</v>
      </c>
      <c r="J15" s="125">
        <v>136.19999999999999</v>
      </c>
      <c r="K15" s="125">
        <v>98.6</v>
      </c>
      <c r="L15" s="125">
        <v>84.1</v>
      </c>
      <c r="M15" s="125">
        <v>46.8</v>
      </c>
      <c r="N15" s="126">
        <v>30.5</v>
      </c>
      <c r="O15" s="3"/>
    </row>
    <row r="16" spans="1:15" ht="13.5" thickBot="1" x14ac:dyDescent="0.25">
      <c r="A16" s="3"/>
      <c r="B16" s="124">
        <v>75</v>
      </c>
      <c r="C16" s="125">
        <v>35.700000000000003</v>
      </c>
      <c r="D16" s="125">
        <v>54.4</v>
      </c>
      <c r="E16" s="125">
        <v>83.3</v>
      </c>
      <c r="F16" s="125">
        <v>104.4</v>
      </c>
      <c r="G16" s="125">
        <v>112.3</v>
      </c>
      <c r="H16" s="125">
        <v>101.5</v>
      </c>
      <c r="I16" s="125">
        <v>101.9</v>
      </c>
      <c r="J16" s="125">
        <v>118.3</v>
      </c>
      <c r="K16" s="125">
        <v>89.3</v>
      </c>
      <c r="L16" s="125">
        <v>80.400000000000006</v>
      </c>
      <c r="M16" s="125">
        <v>46.8</v>
      </c>
      <c r="N16" s="126">
        <v>30.5</v>
      </c>
      <c r="O16" s="3"/>
    </row>
    <row r="17" spans="1:15" ht="13.5" thickBot="1" x14ac:dyDescent="0.25">
      <c r="A17" s="3"/>
      <c r="B17" s="127">
        <v>90</v>
      </c>
      <c r="C17" s="122">
        <v>33.5</v>
      </c>
      <c r="D17" s="122">
        <v>49.7</v>
      </c>
      <c r="E17" s="122">
        <v>72.900000000000006</v>
      </c>
      <c r="F17" s="122">
        <v>86.4</v>
      </c>
      <c r="G17" s="122">
        <v>88.5</v>
      </c>
      <c r="H17" s="122">
        <v>77.8</v>
      </c>
      <c r="I17" s="122">
        <v>79.599999999999994</v>
      </c>
      <c r="J17" s="122">
        <v>96.7</v>
      </c>
      <c r="K17" s="122">
        <v>75.599999999999994</v>
      </c>
      <c r="L17" s="122">
        <v>72.2</v>
      </c>
      <c r="M17" s="122">
        <v>43.2</v>
      </c>
      <c r="N17" s="123">
        <v>29</v>
      </c>
      <c r="O17" s="3"/>
    </row>
    <row r="18" spans="1:15" ht="14.25" thickTop="1" thickBot="1" x14ac:dyDescent="0.25">
      <c r="A18" s="3"/>
      <c r="B18" s="210" t="s">
        <v>108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2"/>
      <c r="O18" s="3"/>
    </row>
    <row r="19" spans="1:15" ht="13.5" thickBot="1" x14ac:dyDescent="0.25">
      <c r="A19" s="3">
        <v>30</v>
      </c>
      <c r="B19" s="124">
        <v>15</v>
      </c>
      <c r="C19" s="125">
        <v>26</v>
      </c>
      <c r="D19" s="125">
        <v>45</v>
      </c>
      <c r="E19" s="125">
        <v>81.8</v>
      </c>
      <c r="F19" s="125">
        <v>123.1</v>
      </c>
      <c r="G19" s="125">
        <v>154.80000000000001</v>
      </c>
      <c r="H19" s="125">
        <v>149.80000000000001</v>
      </c>
      <c r="I19" s="125">
        <v>148.1</v>
      </c>
      <c r="J19" s="125">
        <v>145.80000000000001</v>
      </c>
      <c r="K19" s="125">
        <v>95.8</v>
      </c>
      <c r="L19" s="125">
        <v>67.7</v>
      </c>
      <c r="M19" s="125">
        <v>32.4</v>
      </c>
      <c r="N19" s="126">
        <v>20.100000000000001</v>
      </c>
      <c r="O19" s="3"/>
    </row>
    <row r="20" spans="1:15" ht="13.5" thickBot="1" x14ac:dyDescent="0.25">
      <c r="A20" s="3"/>
      <c r="B20" s="124">
        <v>30</v>
      </c>
      <c r="C20" s="125">
        <v>30.5</v>
      </c>
      <c r="D20" s="125">
        <v>50.4</v>
      </c>
      <c r="E20" s="125">
        <v>87.8</v>
      </c>
      <c r="F20" s="125">
        <v>126.7</v>
      </c>
      <c r="G20" s="125">
        <v>153.30000000000001</v>
      </c>
      <c r="H20" s="125">
        <v>146.9</v>
      </c>
      <c r="I20" s="125">
        <v>145.1</v>
      </c>
      <c r="J20" s="125">
        <v>148.80000000000001</v>
      </c>
      <c r="K20" s="125">
        <v>100.1</v>
      </c>
      <c r="L20" s="125">
        <v>75.900000000000006</v>
      </c>
      <c r="M20" s="125">
        <v>38.200000000000003</v>
      </c>
      <c r="N20" s="126">
        <v>23.8</v>
      </c>
      <c r="O20" s="3"/>
    </row>
    <row r="21" spans="1:15" ht="13.5" thickBot="1" x14ac:dyDescent="0.25">
      <c r="A21" s="3"/>
      <c r="B21" s="124">
        <v>45</v>
      </c>
      <c r="C21" s="125">
        <v>32.700000000000003</v>
      </c>
      <c r="D21" s="125">
        <v>53.1</v>
      </c>
      <c r="E21" s="125">
        <v>89.3</v>
      </c>
      <c r="F21" s="125">
        <v>124.6</v>
      </c>
      <c r="G21" s="125">
        <v>145.80000000000001</v>
      </c>
      <c r="H21" s="125">
        <v>137.5</v>
      </c>
      <c r="I21" s="125">
        <v>136.9</v>
      </c>
      <c r="J21" s="125">
        <v>144.30000000000001</v>
      </c>
      <c r="K21" s="125">
        <v>99.4</v>
      </c>
      <c r="L21" s="125">
        <v>79.599999999999994</v>
      </c>
      <c r="M21" s="125">
        <v>42.5</v>
      </c>
      <c r="N21" s="126">
        <v>26.8</v>
      </c>
      <c r="O21" s="3"/>
    </row>
    <row r="22" spans="1:15" ht="13.5" thickBot="1" x14ac:dyDescent="0.25">
      <c r="A22" s="3"/>
      <c r="B22" s="124">
        <v>60</v>
      </c>
      <c r="C22" s="125">
        <v>34.200000000000003</v>
      </c>
      <c r="D22" s="125">
        <v>53.1</v>
      </c>
      <c r="E22" s="125">
        <v>86.3</v>
      </c>
      <c r="F22" s="125">
        <v>116.6</v>
      </c>
      <c r="G22" s="125">
        <v>131.69999999999999</v>
      </c>
      <c r="H22" s="125">
        <v>123.1</v>
      </c>
      <c r="I22" s="125">
        <v>122.8</v>
      </c>
      <c r="J22" s="125">
        <v>133.9</v>
      </c>
      <c r="K22" s="125">
        <v>95</v>
      </c>
      <c r="L22" s="125">
        <v>79.599999999999994</v>
      </c>
      <c r="M22" s="125">
        <v>43.9</v>
      </c>
      <c r="N22" s="126">
        <v>28.3</v>
      </c>
      <c r="O22" s="3"/>
    </row>
    <row r="23" spans="1:15" ht="13.5" thickBot="1" x14ac:dyDescent="0.25">
      <c r="A23" s="3"/>
      <c r="B23" s="124">
        <v>75</v>
      </c>
      <c r="C23" s="125">
        <v>33.5</v>
      </c>
      <c r="D23" s="125">
        <v>51.1</v>
      </c>
      <c r="E23" s="125">
        <v>79.599999999999994</v>
      </c>
      <c r="F23" s="125">
        <v>103.7</v>
      </c>
      <c r="G23" s="125">
        <v>113.1</v>
      </c>
      <c r="H23" s="125">
        <v>104.4</v>
      </c>
      <c r="I23" s="125">
        <v>104.2</v>
      </c>
      <c r="J23" s="125">
        <v>116.8</v>
      </c>
      <c r="K23" s="125">
        <v>85.7</v>
      </c>
      <c r="L23" s="125">
        <v>75.099999999999994</v>
      </c>
      <c r="M23" s="125">
        <v>42.5</v>
      </c>
      <c r="N23" s="126">
        <v>28.3</v>
      </c>
      <c r="O23" s="3"/>
    </row>
    <row r="24" spans="1:15" ht="13.5" thickBot="1" x14ac:dyDescent="0.25">
      <c r="A24" s="3"/>
      <c r="B24" s="127">
        <v>90</v>
      </c>
      <c r="C24" s="122">
        <v>30.5</v>
      </c>
      <c r="D24" s="122">
        <v>45.7</v>
      </c>
      <c r="E24" s="122">
        <v>69.2</v>
      </c>
      <c r="F24" s="122">
        <v>87.1</v>
      </c>
      <c r="G24" s="122">
        <v>90.8</v>
      </c>
      <c r="H24" s="122">
        <v>82.8</v>
      </c>
      <c r="I24" s="122">
        <v>82.6</v>
      </c>
      <c r="J24" s="122">
        <v>96</v>
      </c>
      <c r="K24" s="122">
        <v>72.7</v>
      </c>
      <c r="L24" s="122">
        <v>67</v>
      </c>
      <c r="M24" s="122">
        <v>39.6</v>
      </c>
      <c r="N24" s="123">
        <v>26.8</v>
      </c>
      <c r="O24" s="3"/>
    </row>
    <row r="25" spans="1:15" ht="14.25" thickTop="1" thickBot="1" x14ac:dyDescent="0.25">
      <c r="A25" s="3"/>
      <c r="B25" s="210" t="s">
        <v>109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2"/>
      <c r="O25" s="3"/>
    </row>
    <row r="26" spans="1:15" ht="13.5" thickBot="1" x14ac:dyDescent="0.25">
      <c r="A26" s="3">
        <v>45</v>
      </c>
      <c r="B26" s="124">
        <v>15</v>
      </c>
      <c r="C26" s="125">
        <v>25.3</v>
      </c>
      <c r="D26" s="125">
        <v>43</v>
      </c>
      <c r="E26" s="125">
        <v>79.599999999999994</v>
      </c>
      <c r="F26" s="125">
        <v>121</v>
      </c>
      <c r="G26" s="125">
        <v>153.30000000000001</v>
      </c>
      <c r="H26" s="125">
        <v>149</v>
      </c>
      <c r="I26" s="125">
        <v>146.6</v>
      </c>
      <c r="J26" s="125">
        <v>143.6</v>
      </c>
      <c r="K26" s="125">
        <v>93.6</v>
      </c>
      <c r="L26" s="125">
        <v>65.5</v>
      </c>
      <c r="M26" s="125">
        <v>31</v>
      </c>
      <c r="N26" s="126">
        <v>19.3</v>
      </c>
      <c r="O26" s="3"/>
    </row>
    <row r="27" spans="1:15" ht="13.5" thickBot="1" x14ac:dyDescent="0.25">
      <c r="A27" s="3"/>
      <c r="B27" s="124">
        <v>30</v>
      </c>
      <c r="C27" s="125">
        <v>28.3</v>
      </c>
      <c r="D27" s="125">
        <v>47</v>
      </c>
      <c r="E27" s="125">
        <v>84.1</v>
      </c>
      <c r="F27" s="125">
        <v>123.1</v>
      </c>
      <c r="G27" s="125">
        <v>151</v>
      </c>
      <c r="H27" s="125">
        <v>146.19999999999999</v>
      </c>
      <c r="I27" s="125">
        <v>143.6</v>
      </c>
      <c r="J27" s="125">
        <v>145.1</v>
      </c>
      <c r="K27" s="125">
        <v>96.5</v>
      </c>
      <c r="L27" s="125">
        <v>71.400000000000006</v>
      </c>
      <c r="M27" s="125">
        <v>35.299999999999997</v>
      </c>
      <c r="N27" s="126">
        <v>22.3</v>
      </c>
      <c r="O27" s="3"/>
    </row>
    <row r="28" spans="1:15" ht="13.5" thickBot="1" x14ac:dyDescent="0.25">
      <c r="A28" s="3"/>
      <c r="B28" s="124">
        <v>45</v>
      </c>
      <c r="C28" s="125">
        <v>30.5</v>
      </c>
      <c r="D28" s="125">
        <v>49.1</v>
      </c>
      <c r="E28" s="125">
        <v>84.1</v>
      </c>
      <c r="F28" s="125">
        <v>121</v>
      </c>
      <c r="G28" s="125">
        <v>143.6</v>
      </c>
      <c r="H28" s="125">
        <v>138.19999999999999</v>
      </c>
      <c r="I28" s="125">
        <v>135.4</v>
      </c>
      <c r="J28" s="125">
        <v>139.9</v>
      </c>
      <c r="K28" s="125">
        <v>95</v>
      </c>
      <c r="L28" s="125">
        <v>73.7</v>
      </c>
      <c r="M28" s="125">
        <v>38.200000000000003</v>
      </c>
      <c r="N28" s="126">
        <v>24.6</v>
      </c>
      <c r="O28" s="3"/>
    </row>
    <row r="29" spans="1:15" ht="13.5" thickBot="1" x14ac:dyDescent="0.25">
      <c r="A29" s="3"/>
      <c r="B29" s="124">
        <v>60</v>
      </c>
      <c r="C29" s="125">
        <v>30.5</v>
      </c>
      <c r="D29" s="125">
        <v>49.1</v>
      </c>
      <c r="E29" s="125">
        <v>81.099999999999994</v>
      </c>
      <c r="F29" s="125">
        <v>113</v>
      </c>
      <c r="G29" s="125">
        <v>130.19999999999999</v>
      </c>
      <c r="H29" s="125">
        <v>124.6</v>
      </c>
      <c r="I29" s="125">
        <v>122</v>
      </c>
      <c r="J29" s="125">
        <v>129.5</v>
      </c>
      <c r="K29" s="125">
        <v>89.3</v>
      </c>
      <c r="L29" s="125">
        <v>72.900000000000006</v>
      </c>
      <c r="M29" s="125">
        <v>38.9</v>
      </c>
      <c r="N29" s="126">
        <v>25.3</v>
      </c>
      <c r="O29" s="3"/>
    </row>
    <row r="30" spans="1:15" ht="13.5" thickBot="1" x14ac:dyDescent="0.25">
      <c r="A30" s="3"/>
      <c r="B30" s="124">
        <v>75</v>
      </c>
      <c r="C30" s="125">
        <v>29</v>
      </c>
      <c r="D30" s="125">
        <v>45.7</v>
      </c>
      <c r="E30" s="125">
        <v>74.400000000000006</v>
      </c>
      <c r="F30" s="125">
        <v>101.5</v>
      </c>
      <c r="G30" s="125">
        <v>113.1</v>
      </c>
      <c r="H30" s="125">
        <v>107.3</v>
      </c>
      <c r="I30" s="125">
        <v>105.6</v>
      </c>
      <c r="J30" s="125">
        <v>113.8</v>
      </c>
      <c r="K30" s="125">
        <v>80.599999999999994</v>
      </c>
      <c r="L30" s="125">
        <v>68.400000000000006</v>
      </c>
      <c r="M30" s="125">
        <v>37.4</v>
      </c>
      <c r="N30" s="126">
        <v>25.3</v>
      </c>
      <c r="O30" s="3"/>
    </row>
    <row r="31" spans="1:15" ht="13.5" thickBot="1" x14ac:dyDescent="0.25">
      <c r="A31" s="3"/>
      <c r="B31" s="127">
        <v>90</v>
      </c>
      <c r="C31" s="122">
        <v>26.8</v>
      </c>
      <c r="D31" s="122">
        <v>41</v>
      </c>
      <c r="E31" s="122">
        <v>64.7</v>
      </c>
      <c r="F31" s="122">
        <v>86.4</v>
      </c>
      <c r="G31" s="122">
        <v>92.3</v>
      </c>
      <c r="H31" s="122">
        <v>87.8</v>
      </c>
      <c r="I31" s="122">
        <v>85.6</v>
      </c>
      <c r="J31" s="122">
        <v>94.5</v>
      </c>
      <c r="K31" s="122">
        <v>69.099999999999994</v>
      </c>
      <c r="L31" s="122">
        <v>60.3</v>
      </c>
      <c r="M31" s="122">
        <v>33.799999999999997</v>
      </c>
      <c r="N31" s="123">
        <v>23.1</v>
      </c>
      <c r="O31" s="3"/>
    </row>
    <row r="32" spans="1:15" ht="13.5" thickTop="1" x14ac:dyDescent="0.2">
      <c r="A32" s="3"/>
      <c r="B32" s="3" t="s">
        <v>110</v>
      </c>
      <c r="C32" s="3"/>
      <c r="D32" s="128">
        <f>CHOOSE(Bilance!$W$41,0,15,30,45)</f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">
      <c r="A33" s="3"/>
      <c r="B33" s="129" t="s">
        <v>104</v>
      </c>
      <c r="C33" s="130" t="s">
        <v>4</v>
      </c>
      <c r="D33" s="130" t="s">
        <v>5</v>
      </c>
      <c r="E33" s="130" t="s">
        <v>6</v>
      </c>
      <c r="F33" s="130" t="s">
        <v>7</v>
      </c>
      <c r="G33" s="130" t="s">
        <v>8</v>
      </c>
      <c r="H33" s="130" t="s">
        <v>105</v>
      </c>
      <c r="I33" s="130" t="s">
        <v>10</v>
      </c>
      <c r="J33" s="130" t="s">
        <v>11</v>
      </c>
      <c r="K33" s="130" t="s">
        <v>12</v>
      </c>
      <c r="L33" s="130" t="s">
        <v>13</v>
      </c>
      <c r="M33" s="130" t="s">
        <v>14</v>
      </c>
      <c r="N33" s="130" t="s">
        <v>15</v>
      </c>
      <c r="O33" s="3"/>
    </row>
    <row r="34" spans="1:15" x14ac:dyDescent="0.2">
      <c r="A34" s="3"/>
      <c r="B34" s="37">
        <v>0</v>
      </c>
      <c r="C34" s="37">
        <f>C4</f>
        <v>20.8</v>
      </c>
      <c r="D34" s="37">
        <f t="shared" ref="D34:N34" si="0">D4</f>
        <v>37</v>
      </c>
      <c r="E34" s="37">
        <f t="shared" si="0"/>
        <v>72.2</v>
      </c>
      <c r="F34" s="37">
        <f t="shared" si="0"/>
        <v>113.8</v>
      </c>
      <c r="G34" s="37">
        <f t="shared" si="0"/>
        <v>148.80000000000001</v>
      </c>
      <c r="H34" s="37">
        <f t="shared" si="0"/>
        <v>146.19999999999999</v>
      </c>
      <c r="I34" s="37">
        <f t="shared" si="0"/>
        <v>144.30000000000001</v>
      </c>
      <c r="J34" s="37">
        <f t="shared" si="0"/>
        <v>136.19999999999999</v>
      </c>
      <c r="K34" s="37">
        <f t="shared" si="0"/>
        <v>87.1</v>
      </c>
      <c r="L34" s="37">
        <f t="shared" si="0"/>
        <v>56.5</v>
      </c>
      <c r="M34" s="37">
        <f t="shared" si="0"/>
        <v>25.2</v>
      </c>
      <c r="N34" s="37">
        <f t="shared" si="0"/>
        <v>14.9</v>
      </c>
      <c r="O34" s="3"/>
    </row>
    <row r="35" spans="1:15" x14ac:dyDescent="0.2">
      <c r="A35" s="3"/>
      <c r="B35" s="37">
        <v>15</v>
      </c>
      <c r="C35" s="37">
        <f>+CHOOSE(Bilance!$W$41,H!C5,H!C12,H!C19,H!C26)</f>
        <v>27.5</v>
      </c>
      <c r="D35" s="37">
        <f>+CHOOSE(Bilance!$W$41,H!D5,H!D12,H!D19,H!D26)</f>
        <v>46.4</v>
      </c>
      <c r="E35" s="37">
        <f>+CHOOSE(Bilance!$W$41,H!E5,H!E12,H!E19,H!E26)</f>
        <v>89</v>
      </c>
      <c r="F35" s="37">
        <f>+CHOOSE(Bilance!$W$41,H!F5,H!F12,H!F19,H!F26)</f>
        <v>124.6</v>
      </c>
      <c r="G35" s="37">
        <f>+CHOOSE(Bilance!$W$41,H!G5,H!G12,H!G19,H!G26)</f>
        <v>155.5</v>
      </c>
      <c r="H35" s="37">
        <f>+CHOOSE(Bilance!$W$41,H!H5,H!H12,H!H19,H!H26)</f>
        <v>149.80000000000001</v>
      </c>
      <c r="I35" s="37">
        <f>+CHOOSE(Bilance!$W$41,H!I5,H!I12,H!I19,H!I26)</f>
        <v>148.80000000000001</v>
      </c>
      <c r="J35" s="37">
        <f>+CHOOSE(Bilance!$W$41,H!J5,H!J12,H!J19,H!J26)</f>
        <v>147.30000000000001</v>
      </c>
      <c r="K35" s="37">
        <f>+CHOOSE(Bilance!$W$41,H!K5,H!K12,H!K19,H!K26)</f>
        <v>97.9</v>
      </c>
      <c r="L35" s="37">
        <f>+CHOOSE(Bilance!$W$41,H!L5,H!L12,H!L19,H!L26)</f>
        <v>69.900000000000006</v>
      </c>
      <c r="M35" s="37">
        <f>+CHOOSE(Bilance!$W$41,H!M5,H!M12,H!M19,H!M26)</f>
        <v>33.799999999999997</v>
      </c>
      <c r="N35" s="37">
        <f>+CHOOSE(Bilance!$W$41,H!N5,H!N12,H!N19,H!N26)</f>
        <v>20.8</v>
      </c>
      <c r="O35" s="3"/>
    </row>
    <row r="36" spans="1:15" x14ac:dyDescent="0.2">
      <c r="A36" s="3"/>
      <c r="B36" s="37">
        <v>30</v>
      </c>
      <c r="C36" s="37">
        <f>+CHOOSE(Bilance!$W$41,H!C6,H!C13,H!C20,H!C27)</f>
        <v>32</v>
      </c>
      <c r="D36" s="37">
        <f>+CHOOSE(Bilance!$W$41,H!D6,H!D13,H!D20,H!D27)</f>
        <v>53.1</v>
      </c>
      <c r="E36" s="37">
        <f>+CHOOSE(Bilance!$W$41,H!E6,H!E13,H!E20,H!E27)</f>
        <v>90.8</v>
      </c>
      <c r="F36" s="37">
        <f>+CHOOSE(Bilance!$W$41,H!F6,H!F13,H!F20,H!F27)</f>
        <v>128.9</v>
      </c>
      <c r="G36" s="37">
        <f>+CHOOSE(Bilance!$W$41,H!G6,H!G13,H!G20,H!G27)</f>
        <v>154.80000000000001</v>
      </c>
      <c r="H36" s="37">
        <f>+CHOOSE(Bilance!$W$41,H!H6,H!H13,H!H20,H!H27)</f>
        <v>146.19999999999999</v>
      </c>
      <c r="I36" s="37">
        <f>+CHOOSE(Bilance!$W$41,H!I6,H!I13,H!I20,H!I27)</f>
        <v>145.80000000000001</v>
      </c>
      <c r="J36" s="37">
        <f>+CHOOSE(Bilance!$W$41,H!J6,H!J13,H!J20,H!J27)</f>
        <v>151.80000000000001</v>
      </c>
      <c r="K36" s="37">
        <f>+CHOOSE(Bilance!$W$41,H!K6,H!K13,H!K20,H!K27)</f>
        <v>104.4</v>
      </c>
      <c r="L36" s="37">
        <f>+CHOOSE(Bilance!$W$41,H!L6,H!L13,H!L20,H!L27)</f>
        <v>79.599999999999994</v>
      </c>
      <c r="M36" s="37">
        <f>+CHOOSE(Bilance!$W$41,H!M6,H!M13,H!M20,H!M27)</f>
        <v>41</v>
      </c>
      <c r="N36" s="37">
        <f>+CHOOSE(Bilance!$W$41,H!N6,H!N13,H!N20,H!N27)</f>
        <v>25.3</v>
      </c>
      <c r="O36" s="3"/>
    </row>
    <row r="37" spans="1:15" x14ac:dyDescent="0.2">
      <c r="A37" s="3"/>
      <c r="B37" s="37">
        <v>45</v>
      </c>
      <c r="C37" s="37">
        <f>+CHOOSE(Bilance!$W$41,H!C7,H!C14,H!C21,H!C28)</f>
        <v>35.700000000000003</v>
      </c>
      <c r="D37" s="37">
        <f>+CHOOSE(Bilance!$W$41,H!D7,H!D14,H!D21,H!D28)</f>
        <v>57.1</v>
      </c>
      <c r="E37" s="37">
        <f>+CHOOSE(Bilance!$W$41,H!E7,H!E14,H!E21,H!E28)</f>
        <v>93</v>
      </c>
      <c r="F37" s="37">
        <f>+CHOOSE(Bilance!$W$41,H!F7,H!F14,H!F21,H!F28)</f>
        <v>127.4</v>
      </c>
      <c r="G37" s="37">
        <f>+CHOOSE(Bilance!$W$41,H!G7,H!G14,H!G21,H!G28)</f>
        <v>147.30000000000001</v>
      </c>
      <c r="H37" s="37">
        <f>+CHOOSE(Bilance!$W$41,H!H7,H!H14,H!H21,H!H28)</f>
        <v>136.1</v>
      </c>
      <c r="I37" s="37">
        <f>+CHOOSE(Bilance!$W$41,H!I7,H!I14,H!I21,H!I28)</f>
        <v>136.9</v>
      </c>
      <c r="J37" s="37">
        <f>+CHOOSE(Bilance!$W$41,H!J7,H!J14,H!J21,H!J28)</f>
        <v>148.1</v>
      </c>
      <c r="K37" s="37">
        <f>+CHOOSE(Bilance!$W$41,H!K7,H!K14,H!K21,H!K28)</f>
        <v>105.1</v>
      </c>
      <c r="L37" s="37">
        <f>+CHOOSE(Bilance!$W$41,H!L7,H!L14,H!L21,H!L28)</f>
        <v>85.6</v>
      </c>
      <c r="M37" s="37">
        <f>+CHOOSE(Bilance!$W$41,H!M7,H!M14,H!M21,H!M28)</f>
        <v>46.1</v>
      </c>
      <c r="N37" s="37">
        <f>+CHOOSE(Bilance!$W$41,H!N7,H!N14,H!N21,H!N28)</f>
        <v>29</v>
      </c>
      <c r="O37" s="3"/>
    </row>
    <row r="38" spans="1:15" x14ac:dyDescent="0.2">
      <c r="A38" s="3"/>
      <c r="B38" s="37">
        <v>60</v>
      </c>
      <c r="C38" s="37">
        <f>+CHOOSE(Bilance!$W$41,H!C8,H!C15,H!C22,H!C29)</f>
        <v>37.200000000000003</v>
      </c>
      <c r="D38" s="37">
        <f>+CHOOSE(Bilance!$W$41,H!D8,H!D15,H!D22,H!D29)</f>
        <v>57.8</v>
      </c>
      <c r="E38" s="37">
        <f>+CHOOSE(Bilance!$W$41,H!E8,H!E15,H!E22,H!E29)</f>
        <v>91.5</v>
      </c>
      <c r="F38" s="37">
        <f>+CHOOSE(Bilance!$W$41,H!F8,H!F15,H!F22,H!F29)</f>
        <v>118.8</v>
      </c>
      <c r="G38" s="37">
        <f>+CHOOSE(Bilance!$W$41,H!G8,H!G15,H!G22,H!G29)</f>
        <v>132.4</v>
      </c>
      <c r="H38" s="37">
        <f>+CHOOSE(Bilance!$W$41,H!H8,H!H15,H!H22,H!H29)</f>
        <v>120.2</v>
      </c>
      <c r="I38" s="37">
        <f>+CHOOSE(Bilance!$W$41,H!I8,H!I15,H!I22,H!I29)</f>
        <v>121.3</v>
      </c>
      <c r="J38" s="37">
        <f>+CHOOSE(Bilance!$W$41,H!J8,H!J15,H!J22,H!J29)</f>
        <v>136.9</v>
      </c>
      <c r="K38" s="37">
        <f>+CHOOSE(Bilance!$W$41,H!K8,H!K15,H!K22,H!K29)</f>
        <v>100.8</v>
      </c>
      <c r="L38" s="37">
        <f>+CHOOSE(Bilance!$W$41,H!L8,H!L15,H!L22,H!L29)</f>
        <v>86.3</v>
      </c>
      <c r="M38" s="37">
        <f>+CHOOSE(Bilance!$W$41,H!M8,H!M15,H!M22,H!M29)</f>
        <v>48.2</v>
      </c>
      <c r="N38" s="37">
        <f>+CHOOSE(Bilance!$W$41,H!N8,H!N15,H!N22,H!N29)</f>
        <v>30.5</v>
      </c>
      <c r="O38" s="3"/>
    </row>
    <row r="39" spans="1:15" x14ac:dyDescent="0.2">
      <c r="A39" s="3"/>
      <c r="B39" s="37">
        <v>75</v>
      </c>
      <c r="C39" s="37">
        <f>+CHOOSE(Bilance!$W$41,H!C9,H!C16,H!C23,H!C30)</f>
        <v>36.5</v>
      </c>
      <c r="D39" s="37">
        <f>+CHOOSE(Bilance!$W$41,H!D9,H!D16,H!D23,H!D30)</f>
        <v>55.8</v>
      </c>
      <c r="E39" s="37">
        <f>+CHOOSE(Bilance!$W$41,H!E9,H!E16,H!E23,H!E30)</f>
        <v>84.8</v>
      </c>
      <c r="F39" s="37">
        <f>+CHOOSE(Bilance!$W$41,H!F9,H!F16,H!F23,H!F30)</f>
        <v>105.1</v>
      </c>
      <c r="G39" s="37">
        <f>+CHOOSE(Bilance!$W$41,H!G9,H!G16,H!G23,H!G30)</f>
        <v>111.6</v>
      </c>
      <c r="H39" s="37">
        <f>+CHOOSE(Bilance!$W$41,H!H9,H!H16,H!H23,H!H30)</f>
        <v>99.4</v>
      </c>
      <c r="I39" s="37">
        <f>+CHOOSE(Bilance!$W$41,H!I9,H!I16,H!I23,H!I30)</f>
        <v>101.2</v>
      </c>
      <c r="J39" s="37">
        <f>+CHOOSE(Bilance!$W$41,H!J9,H!J16,H!J23,H!J30)</f>
        <v>119</v>
      </c>
      <c r="K39" s="37">
        <f>+CHOOSE(Bilance!$W$41,H!K9,H!K16,H!K23,H!K30)</f>
        <v>91.4</v>
      </c>
      <c r="L39" s="37">
        <f>+CHOOSE(Bilance!$W$41,H!L9,H!L16,H!L23,H!L30)</f>
        <v>82.6</v>
      </c>
      <c r="M39" s="37">
        <f>+CHOOSE(Bilance!$W$41,H!M9,H!M16,H!M23,H!M30)</f>
        <v>48.2</v>
      </c>
      <c r="N39" s="37">
        <f>+CHOOSE(Bilance!$W$41,H!N9,H!N16,H!N23,H!N30)</f>
        <v>30.5</v>
      </c>
      <c r="O39" s="3"/>
    </row>
    <row r="40" spans="1:15" x14ac:dyDescent="0.2">
      <c r="A40" s="3"/>
      <c r="B40" s="37">
        <v>90</v>
      </c>
      <c r="C40" s="37">
        <f>+CHOOSE(Bilance!$W$41,H!C10,H!C17,H!C24,H!C31)</f>
        <v>34.200000000000003</v>
      </c>
      <c r="D40" s="37">
        <f>+CHOOSE(Bilance!$W$41,H!D10,H!D17,H!D24,H!D31)</f>
        <v>51.1</v>
      </c>
      <c r="E40" s="37">
        <f>+CHOOSE(Bilance!$W$41,H!E10,H!E17,H!E24,H!E31)</f>
        <v>74.400000000000006</v>
      </c>
      <c r="F40" s="37">
        <f>+CHOOSE(Bilance!$W$41,H!F10,H!F17,H!F24,H!F31)</f>
        <v>85.7</v>
      </c>
      <c r="G40" s="37">
        <f>+CHOOSE(Bilance!$W$41,H!G10,H!G17,H!G24,H!G31)</f>
        <v>87</v>
      </c>
      <c r="H40" s="37">
        <f>+CHOOSE(Bilance!$W$41,H!H10,H!H17,H!H24,H!H31)</f>
        <v>75.599999999999994</v>
      </c>
      <c r="I40" s="37">
        <f>+CHOOSE(Bilance!$W$41,H!I10,H!I17,H!I24,H!I31)</f>
        <v>78.099999999999994</v>
      </c>
      <c r="J40" s="37">
        <f>+CHOOSE(Bilance!$W$41,H!J10,H!J17,H!J24,H!J31)</f>
        <v>96</v>
      </c>
      <c r="K40" s="37">
        <f>+CHOOSE(Bilance!$W$41,H!K10,H!K17,H!K24,H!K31)</f>
        <v>77.8</v>
      </c>
      <c r="L40" s="37">
        <f>+CHOOSE(Bilance!$W$41,H!L10,H!L17,H!L24,H!L31)</f>
        <v>74.400000000000006</v>
      </c>
      <c r="M40" s="37">
        <f>+CHOOSE(Bilance!$W$41,H!M10,H!M17,H!M24,H!M31)</f>
        <v>45.4</v>
      </c>
      <c r="N40" s="37">
        <f>+CHOOSE(Bilance!$W$41,H!N10,H!N17,H!N24,H!N31)</f>
        <v>29</v>
      </c>
      <c r="O40" s="3"/>
    </row>
    <row r="41" spans="1:1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">
      <c r="A42" s="3"/>
      <c r="B42" s="3" t="s">
        <v>111</v>
      </c>
      <c r="C42" s="3"/>
      <c r="D42" s="128">
        <f>CHOOSE(Bilance!$V$41,0,15,30,45,60,75,90)</f>
        <v>90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">
      <c r="A43" s="3"/>
      <c r="B43" s="3"/>
      <c r="C43" s="130" t="s">
        <v>4</v>
      </c>
      <c r="D43" s="130" t="s">
        <v>5</v>
      </c>
      <c r="E43" s="130" t="s">
        <v>6</v>
      </c>
      <c r="F43" s="130" t="s">
        <v>7</v>
      </c>
      <c r="G43" s="130" t="s">
        <v>8</v>
      </c>
      <c r="H43" s="130" t="s">
        <v>105</v>
      </c>
      <c r="I43" s="130" t="s">
        <v>10</v>
      </c>
      <c r="J43" s="130" t="s">
        <v>11</v>
      </c>
      <c r="K43" s="130" t="s">
        <v>12</v>
      </c>
      <c r="L43" s="130" t="s">
        <v>13</v>
      </c>
      <c r="M43" s="130" t="s">
        <v>14</v>
      </c>
      <c r="N43" s="130" t="s">
        <v>15</v>
      </c>
      <c r="O43" s="3"/>
    </row>
    <row r="44" spans="1:15" x14ac:dyDescent="0.2">
      <c r="A44" s="3"/>
      <c r="B44" s="3"/>
      <c r="C44" s="3">
        <f>VLOOKUP($D$42,$B$34:$N$40,2,FALSE)</f>
        <v>34.200000000000003</v>
      </c>
      <c r="D44" s="3">
        <f>VLOOKUP($D$42,$B$34:$N$40,3,FALSE)</f>
        <v>51.1</v>
      </c>
      <c r="E44" s="3">
        <f>VLOOKUP($D$42,$B$34:$N$40,4,FALSE)</f>
        <v>74.400000000000006</v>
      </c>
      <c r="F44" s="3">
        <f>VLOOKUP($D$42,$B$34:$N$40,5,FALSE)</f>
        <v>85.7</v>
      </c>
      <c r="G44" s="3">
        <f>VLOOKUP($D$42,$B$34:$N$40,6,FALSE)</f>
        <v>87</v>
      </c>
      <c r="H44" s="3">
        <f>VLOOKUP($D$42,$B$34:$N$40,7,FALSE)</f>
        <v>75.599999999999994</v>
      </c>
      <c r="I44" s="3">
        <f>VLOOKUP($D$42,$B$34:$N$40,8,FALSE)</f>
        <v>78.099999999999994</v>
      </c>
      <c r="J44" s="3">
        <f>VLOOKUP($D$42,$B$34:$N$40,9,FALSE)</f>
        <v>96</v>
      </c>
      <c r="K44" s="3">
        <f>VLOOKUP($D$42,$B$34:$N$40,10,FALSE)</f>
        <v>77.8</v>
      </c>
      <c r="L44" s="3">
        <f>VLOOKUP($D$42,$B$34:$N$40,11,FALSE)</f>
        <v>74.400000000000006</v>
      </c>
      <c r="M44" s="3">
        <f>VLOOKUP($D$42,$B$34:$N$40,12,FALSE)</f>
        <v>45.4</v>
      </c>
      <c r="N44" s="3">
        <f>VLOOKUP($D$42,$B$34:$N$40,13,FALSE)</f>
        <v>29</v>
      </c>
      <c r="O44" s="3"/>
    </row>
    <row r="45" spans="1:1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 sheet="1" objects="1" scenarios="1" selectLockedCells="1"/>
  <mergeCells count="5">
    <mergeCell ref="C1:N1"/>
    <mergeCell ref="B3:N3"/>
    <mergeCell ref="B11:N11"/>
    <mergeCell ref="B18:N18"/>
    <mergeCell ref="B25:N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O45"/>
  <sheetViews>
    <sheetView workbookViewId="0">
      <selection activeCell="M16" sqref="M16:N16"/>
    </sheetView>
  </sheetViews>
  <sheetFormatPr defaultRowHeight="15" x14ac:dyDescent="0.25"/>
  <sheetData>
    <row r="1" spans="1:15" x14ac:dyDescent="0.25">
      <c r="A1" s="119"/>
      <c r="B1" s="131" t="s">
        <v>28</v>
      </c>
      <c r="C1" s="131" t="s">
        <v>210</v>
      </c>
      <c r="D1" s="131" t="s">
        <v>211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x14ac:dyDescent="0.25">
      <c r="A2" s="119"/>
      <c r="B2" s="48">
        <v>1</v>
      </c>
      <c r="C2" s="105">
        <f>Bilance!F45</f>
        <v>0.3374722</v>
      </c>
      <c r="D2" s="105">
        <f>Bilance!G45</f>
        <v>5.4790357687303975E-2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x14ac:dyDescent="0.25">
      <c r="A3" s="119"/>
      <c r="B3" s="48">
        <v>2</v>
      </c>
      <c r="C3" s="105">
        <f>Bilance!F46</f>
        <v>0.30481360000000002</v>
      </c>
      <c r="D3" s="105">
        <f>Bilance!G46</f>
        <v>8.6944055297276696E-2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x14ac:dyDescent="0.25">
      <c r="A4" s="119"/>
      <c r="B4" s="48">
        <v>3</v>
      </c>
      <c r="C4" s="105">
        <f>Bilance!F47</f>
        <v>0.3374722</v>
      </c>
      <c r="D4" s="105">
        <f>Bilance!G47</f>
        <v>0.12981604909566918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x14ac:dyDescent="0.25">
      <c r="A5" s="119"/>
      <c r="B5" s="48">
        <v>4</v>
      </c>
      <c r="C5" s="105">
        <f>Bilance!F48</f>
        <v>0.32658599999999999</v>
      </c>
      <c r="D5" s="105">
        <f>Bilance!G48</f>
        <v>0.14575111573346236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x14ac:dyDescent="0.25">
      <c r="A6" s="119"/>
      <c r="B6" s="48">
        <v>5</v>
      </c>
      <c r="C6" s="105">
        <f>Bilance!F49</f>
        <v>0.3374722</v>
      </c>
      <c r="D6" s="105">
        <f>Bilance!G49</f>
        <v>0.15326273204871421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x14ac:dyDescent="0.25">
      <c r="A7" s="119"/>
      <c r="B7" s="48">
        <v>6</v>
      </c>
      <c r="C7" s="105">
        <f>Bilance!F50</f>
        <v>0.32658599999999999</v>
      </c>
      <c r="D7" s="105">
        <f>Bilance!G50</f>
        <v>0.1376644654137904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5" x14ac:dyDescent="0.25">
      <c r="A8" s="119"/>
      <c r="B8" s="48">
        <v>7</v>
      </c>
      <c r="C8" s="105">
        <f>Bilance!F51</f>
        <v>0.25310415000000003</v>
      </c>
      <c r="D8" s="105">
        <f>Bilance!G51</f>
        <v>0.1506569694561983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x14ac:dyDescent="0.25">
      <c r="A9" s="119"/>
      <c r="B9" s="48">
        <v>8</v>
      </c>
      <c r="C9" s="105">
        <f>Bilance!F52</f>
        <v>0.25310415000000003</v>
      </c>
      <c r="D9" s="105">
        <f>Bilance!G52</f>
        <v>0.1967569500063473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1:15" x14ac:dyDescent="0.25">
      <c r="A10" s="119"/>
      <c r="B10" s="48">
        <v>9</v>
      </c>
      <c r="C10" s="105">
        <f>Bilance!F53</f>
        <v>0.32658599999999999</v>
      </c>
      <c r="D10" s="105">
        <f>Bilance!G53</f>
        <v>0.15768203730723263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x14ac:dyDescent="0.25">
      <c r="A11" s="119"/>
      <c r="B11" s="48">
        <v>10</v>
      </c>
      <c r="C11" s="105">
        <f>Bilance!F54</f>
        <v>0.3374722</v>
      </c>
      <c r="D11" s="105">
        <f>Bilance!G54</f>
        <v>0.14397642723216089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x14ac:dyDescent="0.25">
      <c r="A12" s="119"/>
      <c r="B12" s="48">
        <v>11</v>
      </c>
      <c r="C12" s="105">
        <f>Bilance!F55</f>
        <v>0.32658599999999999</v>
      </c>
      <c r="D12" s="105">
        <f>Bilance!G55</f>
        <v>7.9369860971123626E-2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5" x14ac:dyDescent="0.25">
      <c r="A13" s="119"/>
      <c r="B13" s="48">
        <v>12</v>
      </c>
      <c r="C13" s="105">
        <f>Bilance!F56</f>
        <v>0.3374722</v>
      </c>
      <c r="D13" s="105">
        <f>Bilance!G56</f>
        <v>4.6675996173812774E-2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</row>
    <row r="14" spans="1:15" x14ac:dyDescent="0.2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x14ac:dyDescent="0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15" x14ac:dyDescent="0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x14ac:dyDescent="0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</row>
    <row r="20" spans="1:15" x14ac:dyDescent="0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x14ac:dyDescent="0.2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1:15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x14ac:dyDescent="0.2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x14ac:dyDescent="0.2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x14ac:dyDescent="0.2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x14ac:dyDescent="0.2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</row>
    <row r="37" spans="1:15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</row>
    <row r="38" spans="1:15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1:15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spans="1:15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1:15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</row>
    <row r="44" spans="1:15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O46"/>
  <sheetViews>
    <sheetView topLeftCell="A23" workbookViewId="0">
      <selection activeCell="M16" sqref="M16:N16"/>
    </sheetView>
  </sheetViews>
  <sheetFormatPr defaultRowHeight="12.75" x14ac:dyDescent="0.2"/>
  <cols>
    <col min="1" max="16384" width="9.140625" style="1"/>
  </cols>
  <sheetData>
    <row r="1" spans="1:15" ht="37.5" customHeight="1" thickTop="1" x14ac:dyDescent="0.2">
      <c r="A1" s="3"/>
      <c r="B1" s="120" t="s">
        <v>102</v>
      </c>
      <c r="C1" s="213" t="s">
        <v>112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  <c r="O1" s="3"/>
    </row>
    <row r="2" spans="1:15" ht="13.5" thickBot="1" x14ac:dyDescent="0.25">
      <c r="A2" s="3"/>
      <c r="B2" s="132" t="s">
        <v>104</v>
      </c>
      <c r="C2" s="216" t="s">
        <v>113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3"/>
    </row>
    <row r="3" spans="1:15" ht="14.25" customHeight="1" thickBot="1" x14ac:dyDescent="0.25">
      <c r="A3" s="3"/>
      <c r="B3" s="133"/>
      <c r="C3" s="134" t="s">
        <v>114</v>
      </c>
      <c r="D3" s="134" t="s">
        <v>115</v>
      </c>
      <c r="E3" s="134" t="s">
        <v>116</v>
      </c>
      <c r="F3" s="134" t="s">
        <v>117</v>
      </c>
      <c r="G3" s="134" t="s">
        <v>118</v>
      </c>
      <c r="H3" s="134" t="s">
        <v>119</v>
      </c>
      <c r="I3" s="134" t="s">
        <v>120</v>
      </c>
      <c r="J3" s="134" t="s">
        <v>121</v>
      </c>
      <c r="K3" s="134" t="s">
        <v>122</v>
      </c>
      <c r="L3" s="134" t="s">
        <v>123</v>
      </c>
      <c r="M3" s="134" t="s">
        <v>124</v>
      </c>
      <c r="N3" s="135" t="s">
        <v>125</v>
      </c>
      <c r="O3" s="3"/>
    </row>
    <row r="4" spans="1:15" ht="14.25" thickTop="1" thickBot="1" x14ac:dyDescent="0.25">
      <c r="A4" s="3">
        <v>0</v>
      </c>
      <c r="B4" s="210" t="s">
        <v>106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  <c r="O4" s="3"/>
    </row>
    <row r="5" spans="1:15" ht="13.5" thickBot="1" x14ac:dyDescent="0.25">
      <c r="A5" s="3"/>
      <c r="B5" s="124">
        <v>0</v>
      </c>
      <c r="C5" s="125">
        <v>175</v>
      </c>
      <c r="D5" s="125">
        <v>253</v>
      </c>
      <c r="E5" s="125">
        <v>365</v>
      </c>
      <c r="F5" s="125">
        <v>446</v>
      </c>
      <c r="G5" s="125">
        <v>498</v>
      </c>
      <c r="H5" s="125">
        <v>514</v>
      </c>
      <c r="I5" s="125">
        <v>501</v>
      </c>
      <c r="J5" s="125">
        <v>462</v>
      </c>
      <c r="K5" s="125">
        <v>388</v>
      </c>
      <c r="L5" s="125">
        <v>285</v>
      </c>
      <c r="M5" s="125">
        <v>195</v>
      </c>
      <c r="N5" s="126">
        <v>150</v>
      </c>
      <c r="O5" s="3"/>
    </row>
    <row r="6" spans="1:15" ht="13.5" thickBot="1" x14ac:dyDescent="0.25">
      <c r="A6" s="3"/>
      <c r="B6" s="124">
        <v>15</v>
      </c>
      <c r="C6" s="125">
        <v>273</v>
      </c>
      <c r="D6" s="125">
        <v>353</v>
      </c>
      <c r="E6" s="125">
        <v>448</v>
      </c>
      <c r="F6" s="125">
        <v>501</v>
      </c>
      <c r="G6" s="125">
        <v>535</v>
      </c>
      <c r="H6" s="125">
        <v>545</v>
      </c>
      <c r="I6" s="125">
        <v>534</v>
      </c>
      <c r="J6" s="125">
        <v>508</v>
      </c>
      <c r="K6" s="125">
        <v>457</v>
      </c>
      <c r="L6" s="125">
        <v>375</v>
      </c>
      <c r="M6" s="125">
        <v>290</v>
      </c>
      <c r="N6" s="126">
        <v>245</v>
      </c>
      <c r="O6" s="3"/>
    </row>
    <row r="7" spans="1:15" ht="13.5" thickBot="1" x14ac:dyDescent="0.25">
      <c r="A7" s="3"/>
      <c r="B7" s="124">
        <v>30</v>
      </c>
      <c r="C7" s="125">
        <v>356</v>
      </c>
      <c r="D7" s="125">
        <v>434</v>
      </c>
      <c r="E7" s="125">
        <v>506</v>
      </c>
      <c r="F7" s="125">
        <v>529</v>
      </c>
      <c r="G7" s="125">
        <v>543</v>
      </c>
      <c r="H7" s="125">
        <v>546</v>
      </c>
      <c r="I7" s="125">
        <v>538</v>
      </c>
      <c r="J7" s="125">
        <v>526</v>
      </c>
      <c r="K7" s="125">
        <v>501</v>
      </c>
      <c r="L7" s="125">
        <v>444</v>
      </c>
      <c r="M7" s="125">
        <v>369</v>
      </c>
      <c r="N7" s="126">
        <v>325</v>
      </c>
      <c r="O7" s="3"/>
    </row>
    <row r="8" spans="1:15" ht="13.5" thickBot="1" x14ac:dyDescent="0.25">
      <c r="A8" s="3"/>
      <c r="B8" s="124">
        <v>45</v>
      </c>
      <c r="C8" s="125">
        <v>418</v>
      </c>
      <c r="D8" s="125">
        <v>489</v>
      </c>
      <c r="E8" s="125">
        <v>535</v>
      </c>
      <c r="F8" s="125">
        <v>527</v>
      </c>
      <c r="G8" s="125">
        <v>521</v>
      </c>
      <c r="H8" s="125">
        <v>517</v>
      </c>
      <c r="I8" s="125">
        <v>512</v>
      </c>
      <c r="J8" s="125">
        <v>515</v>
      </c>
      <c r="K8" s="125">
        <v>516</v>
      </c>
      <c r="L8" s="125">
        <v>488</v>
      </c>
      <c r="M8" s="125">
        <v>427</v>
      </c>
      <c r="N8" s="126">
        <v>387</v>
      </c>
      <c r="O8" s="3"/>
    </row>
    <row r="9" spans="1:15" ht="13.5" thickBot="1" x14ac:dyDescent="0.25">
      <c r="A9" s="3"/>
      <c r="B9" s="124">
        <v>60</v>
      </c>
      <c r="C9" s="125">
        <v>454</v>
      </c>
      <c r="D9" s="125">
        <v>514</v>
      </c>
      <c r="E9" s="125">
        <v>533</v>
      </c>
      <c r="F9" s="125">
        <v>496</v>
      </c>
      <c r="G9" s="125">
        <v>470</v>
      </c>
      <c r="H9" s="125">
        <v>460</v>
      </c>
      <c r="I9" s="125">
        <v>459</v>
      </c>
      <c r="J9" s="125">
        <v>476</v>
      </c>
      <c r="K9" s="125">
        <v>503</v>
      </c>
      <c r="L9" s="125">
        <v>502</v>
      </c>
      <c r="M9" s="125">
        <v>458</v>
      </c>
      <c r="N9" s="126">
        <v>424</v>
      </c>
      <c r="O9" s="3"/>
    </row>
    <row r="10" spans="1:15" ht="13.5" thickBot="1" x14ac:dyDescent="0.25">
      <c r="A10" s="3"/>
      <c r="B10" s="124">
        <v>75</v>
      </c>
      <c r="C10" s="125">
        <v>463</v>
      </c>
      <c r="D10" s="125">
        <v>509</v>
      </c>
      <c r="E10" s="125">
        <v>500</v>
      </c>
      <c r="F10" s="125">
        <v>437</v>
      </c>
      <c r="G10" s="125">
        <v>394</v>
      </c>
      <c r="H10" s="125">
        <v>379</v>
      </c>
      <c r="I10" s="125">
        <v>381</v>
      </c>
      <c r="J10" s="125">
        <v>411</v>
      </c>
      <c r="K10" s="125">
        <v>461</v>
      </c>
      <c r="L10" s="125">
        <v>488</v>
      </c>
      <c r="M10" s="125">
        <v>462</v>
      </c>
      <c r="N10" s="126">
        <v>436</v>
      </c>
      <c r="O10" s="3"/>
    </row>
    <row r="11" spans="1:15" ht="14.25" customHeight="1" thickBot="1" x14ac:dyDescent="0.25">
      <c r="A11" s="3"/>
      <c r="B11" s="127">
        <v>90</v>
      </c>
      <c r="C11" s="122">
        <v>443</v>
      </c>
      <c r="D11" s="122">
        <v>473</v>
      </c>
      <c r="E11" s="122">
        <v>438</v>
      </c>
      <c r="F11" s="122">
        <v>355</v>
      </c>
      <c r="G11" s="122">
        <v>299</v>
      </c>
      <c r="H11" s="122">
        <v>279</v>
      </c>
      <c r="I11" s="122">
        <v>285</v>
      </c>
      <c r="J11" s="122">
        <v>325</v>
      </c>
      <c r="K11" s="122">
        <v>393</v>
      </c>
      <c r="L11" s="122">
        <v>444</v>
      </c>
      <c r="M11" s="122">
        <v>438</v>
      </c>
      <c r="N11" s="123">
        <v>421</v>
      </c>
      <c r="O11" s="3"/>
    </row>
    <row r="12" spans="1:15" ht="14.25" thickTop="1" thickBot="1" x14ac:dyDescent="0.25">
      <c r="A12" s="3">
        <v>15</v>
      </c>
      <c r="B12" s="210" t="s">
        <v>107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2"/>
      <c r="O12" s="3"/>
    </row>
    <row r="13" spans="1:15" ht="13.5" thickBot="1" x14ac:dyDescent="0.25">
      <c r="A13" s="3"/>
      <c r="B13" s="124">
        <v>15</v>
      </c>
      <c r="C13" s="125">
        <v>270</v>
      </c>
      <c r="D13" s="125">
        <v>350</v>
      </c>
      <c r="E13" s="125">
        <v>445</v>
      </c>
      <c r="F13" s="125">
        <v>499</v>
      </c>
      <c r="G13" s="125">
        <v>534</v>
      </c>
      <c r="H13" s="125">
        <v>543</v>
      </c>
      <c r="I13" s="125">
        <v>533</v>
      </c>
      <c r="J13" s="125">
        <v>506</v>
      </c>
      <c r="K13" s="125">
        <v>454</v>
      </c>
      <c r="L13" s="125">
        <v>372</v>
      </c>
      <c r="M13" s="125">
        <v>287</v>
      </c>
      <c r="N13" s="126">
        <v>241</v>
      </c>
      <c r="O13" s="3"/>
    </row>
    <row r="14" spans="1:15" ht="13.5" thickBot="1" x14ac:dyDescent="0.25">
      <c r="A14" s="3"/>
      <c r="B14" s="124">
        <v>30</v>
      </c>
      <c r="C14" s="125">
        <v>349</v>
      </c>
      <c r="D14" s="125">
        <v>427</v>
      </c>
      <c r="E14" s="125">
        <v>500</v>
      </c>
      <c r="F14" s="125">
        <v>525</v>
      </c>
      <c r="G14" s="125">
        <v>540</v>
      </c>
      <c r="H14" s="125">
        <v>543</v>
      </c>
      <c r="I14" s="125">
        <v>535</v>
      </c>
      <c r="J14" s="125">
        <v>522</v>
      </c>
      <c r="K14" s="125">
        <v>496</v>
      </c>
      <c r="L14" s="125">
        <v>438</v>
      </c>
      <c r="M14" s="125">
        <v>363</v>
      </c>
      <c r="N14" s="126">
        <v>319</v>
      </c>
      <c r="O14" s="3"/>
    </row>
    <row r="15" spans="1:15" ht="13.5" thickBot="1" x14ac:dyDescent="0.25">
      <c r="A15" s="3"/>
      <c r="B15" s="124">
        <v>45</v>
      </c>
      <c r="C15" s="125">
        <v>408</v>
      </c>
      <c r="D15" s="125">
        <v>479</v>
      </c>
      <c r="E15" s="125">
        <v>526</v>
      </c>
      <c r="F15" s="125">
        <v>521</v>
      </c>
      <c r="G15" s="125">
        <v>516</v>
      </c>
      <c r="H15" s="125">
        <v>512</v>
      </c>
      <c r="I15" s="125">
        <v>508</v>
      </c>
      <c r="J15" s="125">
        <v>509</v>
      </c>
      <c r="K15" s="125">
        <v>509</v>
      </c>
      <c r="L15" s="125">
        <v>479</v>
      </c>
      <c r="M15" s="125">
        <v>417</v>
      </c>
      <c r="N15" s="126">
        <v>377</v>
      </c>
      <c r="O15" s="3"/>
    </row>
    <row r="16" spans="1:15" ht="13.5" thickBot="1" x14ac:dyDescent="0.25">
      <c r="A16" s="3"/>
      <c r="B16" s="124">
        <v>60</v>
      </c>
      <c r="C16" s="125">
        <v>442</v>
      </c>
      <c r="D16" s="125">
        <v>502</v>
      </c>
      <c r="E16" s="125">
        <v>522</v>
      </c>
      <c r="F16" s="125">
        <v>488</v>
      </c>
      <c r="G16" s="125">
        <v>464</v>
      </c>
      <c r="H16" s="125">
        <v>455</v>
      </c>
      <c r="I16" s="125">
        <v>453</v>
      </c>
      <c r="J16" s="125">
        <v>469</v>
      </c>
      <c r="K16" s="125">
        <v>494</v>
      </c>
      <c r="L16" s="125">
        <v>491</v>
      </c>
      <c r="M16" s="125">
        <v>447</v>
      </c>
      <c r="N16" s="126">
        <v>413</v>
      </c>
      <c r="O16" s="3"/>
    </row>
    <row r="17" spans="1:15" ht="13.5" thickBot="1" x14ac:dyDescent="0.25">
      <c r="A17" s="3"/>
      <c r="B17" s="124">
        <v>75</v>
      </c>
      <c r="C17" s="125">
        <v>449</v>
      </c>
      <c r="D17" s="125">
        <v>495</v>
      </c>
      <c r="E17" s="125">
        <v>488</v>
      </c>
      <c r="F17" s="125">
        <v>428</v>
      </c>
      <c r="G17" s="125">
        <v>388</v>
      </c>
      <c r="H17" s="125">
        <v>373</v>
      </c>
      <c r="I17" s="125">
        <v>375</v>
      </c>
      <c r="J17" s="125">
        <v>403</v>
      </c>
      <c r="K17" s="125">
        <v>451</v>
      </c>
      <c r="L17" s="125">
        <v>475</v>
      </c>
      <c r="M17" s="125">
        <v>449</v>
      </c>
      <c r="N17" s="126">
        <v>423</v>
      </c>
      <c r="O17" s="3"/>
    </row>
    <row r="18" spans="1:15" ht="14.25" customHeight="1" thickBot="1" x14ac:dyDescent="0.25">
      <c r="A18" s="3"/>
      <c r="B18" s="127">
        <v>90</v>
      </c>
      <c r="C18" s="122">
        <v>429</v>
      </c>
      <c r="D18" s="122">
        <v>459</v>
      </c>
      <c r="E18" s="122">
        <v>426</v>
      </c>
      <c r="F18" s="122">
        <v>346</v>
      </c>
      <c r="G18" s="122">
        <v>292</v>
      </c>
      <c r="H18" s="122">
        <v>273</v>
      </c>
      <c r="I18" s="122">
        <v>279</v>
      </c>
      <c r="J18" s="122">
        <v>317</v>
      </c>
      <c r="K18" s="122">
        <v>383</v>
      </c>
      <c r="L18" s="122">
        <v>431</v>
      </c>
      <c r="M18" s="122">
        <v>425</v>
      </c>
      <c r="N18" s="123">
        <v>408</v>
      </c>
      <c r="O18" s="3"/>
    </row>
    <row r="19" spans="1:15" ht="14.25" thickTop="1" thickBot="1" x14ac:dyDescent="0.25">
      <c r="A19" s="3">
        <v>30</v>
      </c>
      <c r="B19" s="210" t="s">
        <v>108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2"/>
      <c r="O19" s="3"/>
    </row>
    <row r="20" spans="1:15" ht="13.5" thickBot="1" x14ac:dyDescent="0.25">
      <c r="A20" s="3"/>
      <c r="B20" s="124">
        <v>15</v>
      </c>
      <c r="C20" s="125">
        <v>259</v>
      </c>
      <c r="D20" s="125">
        <v>339</v>
      </c>
      <c r="E20" s="125">
        <v>435</v>
      </c>
      <c r="F20" s="125">
        <v>492</v>
      </c>
      <c r="G20" s="125">
        <v>529</v>
      </c>
      <c r="H20" s="125">
        <v>539</v>
      </c>
      <c r="I20" s="125">
        <v>528</v>
      </c>
      <c r="J20" s="125">
        <v>500</v>
      </c>
      <c r="K20" s="125">
        <v>446</v>
      </c>
      <c r="L20" s="125">
        <v>362</v>
      </c>
      <c r="M20" s="125">
        <v>277</v>
      </c>
      <c r="N20" s="126">
        <v>232</v>
      </c>
      <c r="O20" s="3"/>
    </row>
    <row r="21" spans="1:15" ht="13.5" thickBot="1" x14ac:dyDescent="0.25">
      <c r="A21" s="3"/>
      <c r="B21" s="124">
        <v>30</v>
      </c>
      <c r="C21" s="125">
        <v>329</v>
      </c>
      <c r="D21" s="125">
        <v>406</v>
      </c>
      <c r="E21" s="125">
        <v>482</v>
      </c>
      <c r="F21" s="125">
        <v>512</v>
      </c>
      <c r="G21" s="125">
        <v>530</v>
      </c>
      <c r="H21" s="125">
        <v>534</v>
      </c>
      <c r="I21" s="125">
        <v>526</v>
      </c>
      <c r="J21" s="125">
        <v>511</v>
      </c>
      <c r="K21" s="125">
        <v>480</v>
      </c>
      <c r="L21" s="125">
        <v>419</v>
      </c>
      <c r="M21" s="125">
        <v>343</v>
      </c>
      <c r="N21" s="126">
        <v>300</v>
      </c>
      <c r="O21" s="3"/>
    </row>
    <row r="22" spans="1:15" ht="13.5" thickBot="1" x14ac:dyDescent="0.25">
      <c r="A22" s="3"/>
      <c r="B22" s="124">
        <v>45</v>
      </c>
      <c r="C22" s="125">
        <v>380</v>
      </c>
      <c r="D22" s="125">
        <v>449</v>
      </c>
      <c r="E22" s="125">
        <v>501</v>
      </c>
      <c r="F22" s="125">
        <v>502</v>
      </c>
      <c r="G22" s="125">
        <v>502</v>
      </c>
      <c r="H22" s="125">
        <v>500</v>
      </c>
      <c r="I22" s="125">
        <v>495</v>
      </c>
      <c r="J22" s="125">
        <v>494</v>
      </c>
      <c r="K22" s="125">
        <v>487</v>
      </c>
      <c r="L22" s="125">
        <v>452</v>
      </c>
      <c r="M22" s="125">
        <v>390</v>
      </c>
      <c r="N22" s="126">
        <v>351</v>
      </c>
      <c r="O22" s="3"/>
    </row>
    <row r="23" spans="1:15" ht="13.5" thickBot="1" x14ac:dyDescent="0.25">
      <c r="A23" s="3"/>
      <c r="B23" s="124">
        <v>60</v>
      </c>
      <c r="C23" s="125">
        <v>408</v>
      </c>
      <c r="D23" s="125">
        <v>466</v>
      </c>
      <c r="E23" s="125">
        <v>491</v>
      </c>
      <c r="F23" s="125">
        <v>465</v>
      </c>
      <c r="G23" s="125">
        <v>447</v>
      </c>
      <c r="H23" s="125">
        <v>440</v>
      </c>
      <c r="I23" s="125">
        <v>438</v>
      </c>
      <c r="J23" s="125">
        <v>449</v>
      </c>
      <c r="K23" s="125">
        <v>467</v>
      </c>
      <c r="L23" s="125">
        <v>459</v>
      </c>
      <c r="M23" s="125">
        <v>413</v>
      </c>
      <c r="N23" s="126">
        <v>380</v>
      </c>
      <c r="O23" s="3"/>
    </row>
    <row r="24" spans="1:15" ht="13.5" thickBot="1" x14ac:dyDescent="0.25">
      <c r="A24" s="3"/>
      <c r="B24" s="124">
        <v>75</v>
      </c>
      <c r="C24" s="125">
        <v>411</v>
      </c>
      <c r="D24" s="125">
        <v>455</v>
      </c>
      <c r="E24" s="125">
        <v>453</v>
      </c>
      <c r="F24" s="125">
        <v>403</v>
      </c>
      <c r="G24" s="125">
        <v>369</v>
      </c>
      <c r="H24" s="125">
        <v>356</v>
      </c>
      <c r="I24" s="125">
        <v>358</v>
      </c>
      <c r="J24" s="125">
        <v>382</v>
      </c>
      <c r="K24" s="125">
        <v>421</v>
      </c>
      <c r="L24" s="125">
        <v>439</v>
      </c>
      <c r="M24" s="125">
        <v>412</v>
      </c>
      <c r="N24" s="126">
        <v>387</v>
      </c>
      <c r="O24" s="3"/>
    </row>
    <row r="25" spans="1:15" ht="14.25" customHeight="1" thickBot="1" x14ac:dyDescent="0.25">
      <c r="A25" s="3"/>
      <c r="B25" s="127">
        <v>90</v>
      </c>
      <c r="C25" s="122">
        <v>390</v>
      </c>
      <c r="D25" s="122">
        <v>418</v>
      </c>
      <c r="E25" s="122">
        <v>390</v>
      </c>
      <c r="F25" s="122">
        <v>320</v>
      </c>
      <c r="G25" s="122">
        <v>273</v>
      </c>
      <c r="H25" s="122">
        <v>256</v>
      </c>
      <c r="I25" s="122">
        <v>261</v>
      </c>
      <c r="J25" s="122">
        <v>294</v>
      </c>
      <c r="K25" s="122">
        <v>352</v>
      </c>
      <c r="L25" s="122">
        <v>394</v>
      </c>
      <c r="M25" s="122">
        <v>386</v>
      </c>
      <c r="N25" s="123">
        <v>370</v>
      </c>
      <c r="O25" s="3"/>
    </row>
    <row r="26" spans="1:15" ht="14.25" thickTop="1" thickBot="1" x14ac:dyDescent="0.25">
      <c r="A26" s="3">
        <v>45</v>
      </c>
      <c r="B26" s="210" t="s">
        <v>109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2"/>
      <c r="O26" s="3"/>
    </row>
    <row r="27" spans="1:15" ht="13.5" thickBot="1" x14ac:dyDescent="0.25">
      <c r="A27" s="3"/>
      <c r="B27" s="124">
        <v>15</v>
      </c>
      <c r="C27" s="125">
        <v>243</v>
      </c>
      <c r="D27" s="125">
        <v>322</v>
      </c>
      <c r="E27" s="125">
        <v>421</v>
      </c>
      <c r="F27" s="125">
        <v>482</v>
      </c>
      <c r="G27" s="125">
        <v>521</v>
      </c>
      <c r="H27" s="125">
        <v>532</v>
      </c>
      <c r="I27" s="125">
        <v>521</v>
      </c>
      <c r="J27" s="125">
        <v>491</v>
      </c>
      <c r="K27" s="125">
        <v>434</v>
      </c>
      <c r="L27" s="125">
        <v>347</v>
      </c>
      <c r="M27" s="125">
        <v>261</v>
      </c>
      <c r="N27" s="126">
        <v>216</v>
      </c>
      <c r="O27" s="3"/>
    </row>
    <row r="28" spans="1:15" ht="13.5" thickBot="1" x14ac:dyDescent="0.25">
      <c r="A28" s="3"/>
      <c r="B28" s="124">
        <v>30</v>
      </c>
      <c r="C28" s="125">
        <v>298</v>
      </c>
      <c r="D28" s="125">
        <v>373</v>
      </c>
      <c r="E28" s="125">
        <v>453</v>
      </c>
      <c r="F28" s="125">
        <v>491</v>
      </c>
      <c r="G28" s="125">
        <v>514</v>
      </c>
      <c r="H28" s="125">
        <v>520</v>
      </c>
      <c r="I28" s="125">
        <v>512</v>
      </c>
      <c r="J28" s="125">
        <v>493</v>
      </c>
      <c r="K28" s="125">
        <v>456</v>
      </c>
      <c r="L28" s="125">
        <v>389</v>
      </c>
      <c r="M28" s="125">
        <v>313</v>
      </c>
      <c r="N28" s="126">
        <v>270</v>
      </c>
      <c r="O28" s="3"/>
    </row>
    <row r="29" spans="1:15" ht="13.5" thickBot="1" x14ac:dyDescent="0.25">
      <c r="A29" s="3"/>
      <c r="B29" s="124">
        <v>45</v>
      </c>
      <c r="C29" s="125">
        <v>336</v>
      </c>
      <c r="D29" s="125">
        <v>403</v>
      </c>
      <c r="E29" s="125">
        <v>460</v>
      </c>
      <c r="F29" s="125">
        <v>473</v>
      </c>
      <c r="G29" s="125">
        <v>480</v>
      </c>
      <c r="H29" s="125">
        <v>481</v>
      </c>
      <c r="I29" s="125">
        <v>475</v>
      </c>
      <c r="J29" s="125">
        <v>468</v>
      </c>
      <c r="K29" s="125">
        <v>453</v>
      </c>
      <c r="L29" s="125">
        <v>410</v>
      </c>
      <c r="M29" s="125">
        <v>346</v>
      </c>
      <c r="N29" s="126">
        <v>308</v>
      </c>
      <c r="O29" s="3"/>
    </row>
    <row r="30" spans="1:15" ht="13.5" thickBot="1" x14ac:dyDescent="0.25">
      <c r="A30" s="3"/>
      <c r="B30" s="124">
        <v>60</v>
      </c>
      <c r="C30" s="125">
        <v>353</v>
      </c>
      <c r="D30" s="125">
        <v>409</v>
      </c>
      <c r="E30" s="125">
        <v>442</v>
      </c>
      <c r="F30" s="125">
        <v>430</v>
      </c>
      <c r="G30" s="125">
        <v>420</v>
      </c>
      <c r="H30" s="125">
        <v>416</v>
      </c>
      <c r="I30" s="125">
        <v>413</v>
      </c>
      <c r="J30" s="125">
        <v>419</v>
      </c>
      <c r="K30" s="125">
        <v>425</v>
      </c>
      <c r="L30" s="125">
        <v>407</v>
      </c>
      <c r="M30" s="125">
        <v>360</v>
      </c>
      <c r="N30" s="126">
        <v>328</v>
      </c>
      <c r="O30" s="3"/>
    </row>
    <row r="31" spans="1:15" ht="13.5" thickBot="1" x14ac:dyDescent="0.25">
      <c r="A31" s="3"/>
      <c r="B31" s="124">
        <v>75</v>
      </c>
      <c r="C31" s="125">
        <v>350</v>
      </c>
      <c r="D31" s="125">
        <v>392</v>
      </c>
      <c r="E31" s="125">
        <v>398</v>
      </c>
      <c r="F31" s="125">
        <v>363</v>
      </c>
      <c r="G31" s="125">
        <v>339</v>
      </c>
      <c r="H31" s="125">
        <v>330</v>
      </c>
      <c r="I31" s="125">
        <v>331</v>
      </c>
      <c r="J31" s="125">
        <v>347</v>
      </c>
      <c r="K31" s="125">
        <v>374</v>
      </c>
      <c r="L31" s="125">
        <v>381</v>
      </c>
      <c r="M31" s="125">
        <v>353</v>
      </c>
      <c r="N31" s="126">
        <v>329</v>
      </c>
      <c r="O31" s="3"/>
    </row>
    <row r="32" spans="1:15" ht="13.5" thickBot="1" x14ac:dyDescent="0.25">
      <c r="A32" s="3"/>
      <c r="B32" s="127">
        <v>90</v>
      </c>
      <c r="C32" s="122">
        <v>327</v>
      </c>
      <c r="D32" s="122">
        <v>352</v>
      </c>
      <c r="E32" s="122">
        <v>333</v>
      </c>
      <c r="F32" s="122">
        <v>279</v>
      </c>
      <c r="G32" s="122">
        <v>242</v>
      </c>
      <c r="H32" s="122">
        <v>229</v>
      </c>
      <c r="I32" s="122">
        <v>233</v>
      </c>
      <c r="J32" s="122">
        <v>259</v>
      </c>
      <c r="K32" s="122">
        <v>303</v>
      </c>
      <c r="L32" s="122">
        <v>334</v>
      </c>
      <c r="M32" s="122">
        <v>325</v>
      </c>
      <c r="N32" s="123">
        <v>310</v>
      </c>
      <c r="O32" s="3"/>
    </row>
    <row r="33" spans="1:15" ht="13.5" thickTop="1" x14ac:dyDescent="0.2">
      <c r="A33" s="3"/>
      <c r="B33" s="3" t="s">
        <v>110</v>
      </c>
      <c r="C33" s="3"/>
      <c r="D33" s="128">
        <f>CHOOSE(Bilance!$W$41,0,15,30,45)</f>
        <v>0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3"/>
    </row>
    <row r="34" spans="1:15" x14ac:dyDescent="0.2">
      <c r="A34" s="3"/>
      <c r="B34" s="129" t="s">
        <v>104</v>
      </c>
      <c r="C34" s="130" t="s">
        <v>4</v>
      </c>
      <c r="D34" s="130" t="s">
        <v>5</v>
      </c>
      <c r="E34" s="130" t="s">
        <v>6</v>
      </c>
      <c r="F34" s="130" t="s">
        <v>7</v>
      </c>
      <c r="G34" s="130" t="s">
        <v>8</v>
      </c>
      <c r="H34" s="130" t="s">
        <v>105</v>
      </c>
      <c r="I34" s="130" t="s">
        <v>10</v>
      </c>
      <c r="J34" s="130" t="s">
        <v>11</v>
      </c>
      <c r="K34" s="130" t="s">
        <v>12</v>
      </c>
      <c r="L34" s="130" t="s">
        <v>13</v>
      </c>
      <c r="M34" s="130" t="s">
        <v>14</v>
      </c>
      <c r="N34" s="130" t="s">
        <v>15</v>
      </c>
      <c r="O34" s="3"/>
    </row>
    <row r="35" spans="1:15" x14ac:dyDescent="0.2">
      <c r="A35" s="3"/>
      <c r="B35" s="37">
        <v>0</v>
      </c>
      <c r="C35" s="37">
        <f>C5</f>
        <v>175</v>
      </c>
      <c r="D35" s="37">
        <f t="shared" ref="D35:N35" si="0">D5</f>
        <v>253</v>
      </c>
      <c r="E35" s="37">
        <f t="shared" si="0"/>
        <v>365</v>
      </c>
      <c r="F35" s="37">
        <f t="shared" si="0"/>
        <v>446</v>
      </c>
      <c r="G35" s="37">
        <f t="shared" si="0"/>
        <v>498</v>
      </c>
      <c r="H35" s="37">
        <f t="shared" si="0"/>
        <v>514</v>
      </c>
      <c r="I35" s="37">
        <f t="shared" si="0"/>
        <v>501</v>
      </c>
      <c r="J35" s="37">
        <f t="shared" si="0"/>
        <v>462</v>
      </c>
      <c r="K35" s="37">
        <f t="shared" si="0"/>
        <v>388</v>
      </c>
      <c r="L35" s="37">
        <f t="shared" si="0"/>
        <v>285</v>
      </c>
      <c r="M35" s="37">
        <f t="shared" si="0"/>
        <v>195</v>
      </c>
      <c r="N35" s="37">
        <f t="shared" si="0"/>
        <v>150</v>
      </c>
      <c r="O35" s="3"/>
    </row>
    <row r="36" spans="1:15" x14ac:dyDescent="0.2">
      <c r="A36" s="3"/>
      <c r="B36" s="37">
        <v>15</v>
      </c>
      <c r="C36" s="37">
        <f>+CHOOSE(Bilance!$W$41,G!C6,G!C13,G!C20,G!C27)</f>
        <v>273</v>
      </c>
      <c r="D36" s="37">
        <f>+CHOOSE(Bilance!$W$41,G!D6,G!D13,G!D20,G!D27)</f>
        <v>353</v>
      </c>
      <c r="E36" s="37">
        <f>+CHOOSE(Bilance!$W$41,G!E6,G!E13,G!E20,G!E27)</f>
        <v>448</v>
      </c>
      <c r="F36" s="37">
        <f>+CHOOSE(Bilance!$W$41,G!F6,G!F13,G!F20,G!F27)</f>
        <v>501</v>
      </c>
      <c r="G36" s="37">
        <f>+CHOOSE(Bilance!$W$41,G!G6,G!G13,G!G20,G!G27)</f>
        <v>535</v>
      </c>
      <c r="H36" s="37">
        <f>+CHOOSE(Bilance!$W$41,G!H6,G!H13,G!H20,G!H27)</f>
        <v>545</v>
      </c>
      <c r="I36" s="37">
        <f>+CHOOSE(Bilance!$W$41,G!I6,G!I13,G!I20,G!I27)</f>
        <v>534</v>
      </c>
      <c r="J36" s="37">
        <f>+CHOOSE(Bilance!$W$41,G!J6,G!J13,G!J20,G!J27)</f>
        <v>508</v>
      </c>
      <c r="K36" s="37">
        <f>+CHOOSE(Bilance!$W$41,G!K6,G!K13,G!K20,G!K27)</f>
        <v>457</v>
      </c>
      <c r="L36" s="37">
        <f>+CHOOSE(Bilance!$W$41,G!L6,G!L13,G!L20,G!L27)</f>
        <v>375</v>
      </c>
      <c r="M36" s="37">
        <f>+CHOOSE(Bilance!$W$41,G!M6,G!M13,G!M20,G!M27)</f>
        <v>290</v>
      </c>
      <c r="N36" s="37">
        <f>+CHOOSE(Bilance!$W$41,G!N6,G!N13,G!N20,G!N27)</f>
        <v>245</v>
      </c>
      <c r="O36" s="3"/>
    </row>
    <row r="37" spans="1:15" x14ac:dyDescent="0.2">
      <c r="A37" s="3"/>
      <c r="B37" s="37">
        <v>30</v>
      </c>
      <c r="C37" s="37">
        <f>+CHOOSE(Bilance!$W$41,G!C7,G!C14,G!C21,G!C28)</f>
        <v>356</v>
      </c>
      <c r="D37" s="37">
        <f>+CHOOSE(Bilance!$W$41,G!D7,G!D14,G!D21,G!D28)</f>
        <v>434</v>
      </c>
      <c r="E37" s="37">
        <f>+CHOOSE(Bilance!$W$41,G!E7,G!E14,G!E21,G!E28)</f>
        <v>506</v>
      </c>
      <c r="F37" s="37">
        <f>+CHOOSE(Bilance!$W$41,G!F7,G!F14,G!F21,G!F28)</f>
        <v>529</v>
      </c>
      <c r="G37" s="37">
        <f>+CHOOSE(Bilance!$W$41,G!G7,G!G14,G!G21,G!G28)</f>
        <v>543</v>
      </c>
      <c r="H37" s="37">
        <f>+CHOOSE(Bilance!$W$41,G!H7,G!H14,G!H21,G!H28)</f>
        <v>546</v>
      </c>
      <c r="I37" s="37">
        <f>+CHOOSE(Bilance!$W$41,G!I7,G!I14,G!I21,G!I28)</f>
        <v>538</v>
      </c>
      <c r="J37" s="37">
        <f>+CHOOSE(Bilance!$W$41,G!J7,G!J14,G!J21,G!J28)</f>
        <v>526</v>
      </c>
      <c r="K37" s="37">
        <f>+CHOOSE(Bilance!$W$41,G!K7,G!K14,G!K21,G!K28)</f>
        <v>501</v>
      </c>
      <c r="L37" s="37">
        <f>+CHOOSE(Bilance!$W$41,G!L7,G!L14,G!L21,G!L28)</f>
        <v>444</v>
      </c>
      <c r="M37" s="37">
        <f>+CHOOSE(Bilance!$W$41,G!M7,G!M14,G!M21,G!M28)</f>
        <v>369</v>
      </c>
      <c r="N37" s="37">
        <f>+CHOOSE(Bilance!$W$41,G!N7,G!N14,G!N21,G!N28)</f>
        <v>325</v>
      </c>
      <c r="O37" s="3"/>
    </row>
    <row r="38" spans="1:15" x14ac:dyDescent="0.2">
      <c r="A38" s="3"/>
      <c r="B38" s="37">
        <v>45</v>
      </c>
      <c r="C38" s="37">
        <f>+CHOOSE(Bilance!$W$41,G!C8,G!C15,G!C22,G!C29)</f>
        <v>418</v>
      </c>
      <c r="D38" s="37">
        <f>+CHOOSE(Bilance!$W$41,G!D8,G!D15,G!D22,G!D29)</f>
        <v>489</v>
      </c>
      <c r="E38" s="37">
        <f>+CHOOSE(Bilance!$W$41,G!E8,G!E15,G!E22,G!E29)</f>
        <v>535</v>
      </c>
      <c r="F38" s="37">
        <f>+CHOOSE(Bilance!$W$41,G!F8,G!F15,G!F22,G!F29)</f>
        <v>527</v>
      </c>
      <c r="G38" s="37">
        <f>+CHOOSE(Bilance!$W$41,G!G8,G!G15,G!G22,G!G29)</f>
        <v>521</v>
      </c>
      <c r="H38" s="37">
        <f>+CHOOSE(Bilance!$W$41,G!H8,G!H15,G!H22,G!H29)</f>
        <v>517</v>
      </c>
      <c r="I38" s="37">
        <f>+CHOOSE(Bilance!$W$41,G!I8,G!I15,G!I22,G!I29)</f>
        <v>512</v>
      </c>
      <c r="J38" s="37">
        <f>+CHOOSE(Bilance!$W$41,G!J8,G!J15,G!J22,G!J29)</f>
        <v>515</v>
      </c>
      <c r="K38" s="37">
        <f>+CHOOSE(Bilance!$W$41,G!K8,G!K15,G!K22,G!K29)</f>
        <v>516</v>
      </c>
      <c r="L38" s="37">
        <f>+CHOOSE(Bilance!$W$41,G!L8,G!L15,G!L22,G!L29)</f>
        <v>488</v>
      </c>
      <c r="M38" s="37">
        <f>+CHOOSE(Bilance!$W$41,G!M8,G!M15,G!M22,G!M29)</f>
        <v>427</v>
      </c>
      <c r="N38" s="37">
        <f>+CHOOSE(Bilance!$W$41,G!N8,G!N15,G!N22,G!N29)</f>
        <v>387</v>
      </c>
      <c r="O38" s="3"/>
    </row>
    <row r="39" spans="1:15" x14ac:dyDescent="0.2">
      <c r="A39" s="3"/>
      <c r="B39" s="37">
        <v>60</v>
      </c>
      <c r="C39" s="37">
        <f>+CHOOSE(Bilance!$W$41,G!C9,G!C16,G!C23,G!C30)</f>
        <v>454</v>
      </c>
      <c r="D39" s="37">
        <f>+CHOOSE(Bilance!$W$41,G!D9,G!D16,G!D23,G!D30)</f>
        <v>514</v>
      </c>
      <c r="E39" s="37">
        <f>+CHOOSE(Bilance!$W$41,G!E9,G!E16,G!E23,G!E30)</f>
        <v>533</v>
      </c>
      <c r="F39" s="37">
        <f>+CHOOSE(Bilance!$W$41,G!F9,G!F16,G!F23,G!F30)</f>
        <v>496</v>
      </c>
      <c r="G39" s="37">
        <f>+CHOOSE(Bilance!$W$41,G!G9,G!G16,G!G23,G!G30)</f>
        <v>470</v>
      </c>
      <c r="H39" s="37">
        <f>+CHOOSE(Bilance!$W$41,G!H9,G!H16,G!H23,G!H30)</f>
        <v>460</v>
      </c>
      <c r="I39" s="37">
        <f>+CHOOSE(Bilance!$W$41,G!I9,G!I16,G!I23,G!I30)</f>
        <v>459</v>
      </c>
      <c r="J39" s="37">
        <f>+CHOOSE(Bilance!$W$41,G!J9,G!J16,G!J23,G!J30)</f>
        <v>476</v>
      </c>
      <c r="K39" s="37">
        <f>+CHOOSE(Bilance!$W$41,G!K9,G!K16,G!K23,G!K30)</f>
        <v>503</v>
      </c>
      <c r="L39" s="37">
        <f>+CHOOSE(Bilance!$W$41,G!L9,G!L16,G!L23,G!L30)</f>
        <v>502</v>
      </c>
      <c r="M39" s="37">
        <f>+CHOOSE(Bilance!$W$41,G!M9,G!M16,G!M23,G!M30)</f>
        <v>458</v>
      </c>
      <c r="N39" s="37">
        <f>+CHOOSE(Bilance!$W$41,G!N9,G!N16,G!N23,G!N30)</f>
        <v>424</v>
      </c>
      <c r="O39" s="3"/>
    </row>
    <row r="40" spans="1:15" x14ac:dyDescent="0.2">
      <c r="A40" s="3"/>
      <c r="B40" s="37">
        <v>75</v>
      </c>
      <c r="C40" s="37">
        <f>+CHOOSE(Bilance!$W$41,G!C10,G!C17,G!C24,G!C31)</f>
        <v>463</v>
      </c>
      <c r="D40" s="37">
        <f>+CHOOSE(Bilance!$W$41,G!D10,G!D17,G!D24,G!D31)</f>
        <v>509</v>
      </c>
      <c r="E40" s="37">
        <f>+CHOOSE(Bilance!$W$41,G!E10,G!E17,G!E24,G!E31)</f>
        <v>500</v>
      </c>
      <c r="F40" s="37">
        <f>+CHOOSE(Bilance!$W$41,G!F10,G!F17,G!F24,G!F31)</f>
        <v>437</v>
      </c>
      <c r="G40" s="37">
        <f>+CHOOSE(Bilance!$W$41,G!G10,G!G17,G!G24,G!G31)</f>
        <v>394</v>
      </c>
      <c r="H40" s="37">
        <f>+CHOOSE(Bilance!$W$41,G!H10,G!H17,G!H24,G!H31)</f>
        <v>379</v>
      </c>
      <c r="I40" s="37">
        <f>+CHOOSE(Bilance!$W$41,G!I10,G!I17,G!I24,G!I31)</f>
        <v>381</v>
      </c>
      <c r="J40" s="37">
        <f>+CHOOSE(Bilance!$W$41,G!J10,G!J17,G!J24,G!J31)</f>
        <v>411</v>
      </c>
      <c r="K40" s="37">
        <f>+CHOOSE(Bilance!$W$41,G!K10,G!K17,G!K24,G!K31)</f>
        <v>461</v>
      </c>
      <c r="L40" s="37">
        <f>+CHOOSE(Bilance!$W$41,G!L10,G!L17,G!L24,G!L31)</f>
        <v>488</v>
      </c>
      <c r="M40" s="37">
        <f>+CHOOSE(Bilance!$W$41,G!M10,G!M17,G!M24,G!M31)</f>
        <v>462</v>
      </c>
      <c r="N40" s="37">
        <f>+CHOOSE(Bilance!$W$41,G!N10,G!N17,G!N24,G!N31)</f>
        <v>436</v>
      </c>
      <c r="O40" s="3"/>
    </row>
    <row r="41" spans="1:15" x14ac:dyDescent="0.2">
      <c r="A41" s="3"/>
      <c r="B41" s="37">
        <v>90</v>
      </c>
      <c r="C41" s="37">
        <f>+CHOOSE(Bilance!$W$41,G!C11,G!C18,G!C25,G!C32)</f>
        <v>443</v>
      </c>
      <c r="D41" s="37">
        <f>+CHOOSE(Bilance!$W$41,G!D11,G!D18,G!D25,G!D32)</f>
        <v>473</v>
      </c>
      <c r="E41" s="37">
        <f>+CHOOSE(Bilance!$W$41,G!E11,G!E18,G!E25,G!E32)</f>
        <v>438</v>
      </c>
      <c r="F41" s="37">
        <f>+CHOOSE(Bilance!$W$41,G!F11,G!F18,G!F25,G!F32)</f>
        <v>355</v>
      </c>
      <c r="G41" s="37">
        <f>+CHOOSE(Bilance!$W$41,G!G11,G!G18,G!G25,G!G32)</f>
        <v>299</v>
      </c>
      <c r="H41" s="37">
        <f>+CHOOSE(Bilance!$W$41,G!H11,G!H18,G!H25,G!H32)</f>
        <v>279</v>
      </c>
      <c r="I41" s="37">
        <f>+CHOOSE(Bilance!$W$41,G!I11,G!I18,G!I25,G!I32)</f>
        <v>285</v>
      </c>
      <c r="J41" s="37">
        <f>+CHOOSE(Bilance!$W$41,G!J11,G!J18,G!J25,G!J32)</f>
        <v>325</v>
      </c>
      <c r="K41" s="37">
        <f>+CHOOSE(Bilance!$W$41,G!K11,G!K18,G!K25,G!K32)</f>
        <v>393</v>
      </c>
      <c r="L41" s="37">
        <f>+CHOOSE(Bilance!$W$41,G!L11,G!L18,G!L25,G!L32)</f>
        <v>444</v>
      </c>
      <c r="M41" s="37">
        <f>+CHOOSE(Bilance!$W$41,G!M11,G!M18,G!M25,G!M32)</f>
        <v>438</v>
      </c>
      <c r="N41" s="37">
        <f>+CHOOSE(Bilance!$W$41,G!N11,G!N18,G!N25,G!N32)</f>
        <v>421</v>
      </c>
      <c r="O41" s="3"/>
    </row>
    <row r="42" spans="1:1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">
      <c r="A43" s="3"/>
      <c r="B43" s="3" t="s">
        <v>111</v>
      </c>
      <c r="C43" s="3"/>
      <c r="D43" s="128">
        <f>CHOOSE(Bilance!$V$41,0,15,30,45,60,75,90)</f>
        <v>90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">
      <c r="A44" s="3"/>
      <c r="B44" s="3"/>
      <c r="C44" s="130" t="s">
        <v>4</v>
      </c>
      <c r="D44" s="130" t="s">
        <v>5</v>
      </c>
      <c r="E44" s="130" t="s">
        <v>6</v>
      </c>
      <c r="F44" s="130" t="s">
        <v>7</v>
      </c>
      <c r="G44" s="130" t="s">
        <v>8</v>
      </c>
      <c r="H44" s="130" t="s">
        <v>105</v>
      </c>
      <c r="I44" s="130" t="s">
        <v>10</v>
      </c>
      <c r="J44" s="130" t="s">
        <v>11</v>
      </c>
      <c r="K44" s="130" t="s">
        <v>12</v>
      </c>
      <c r="L44" s="130" t="s">
        <v>13</v>
      </c>
      <c r="M44" s="130" t="s">
        <v>14</v>
      </c>
      <c r="N44" s="130" t="s">
        <v>15</v>
      </c>
      <c r="O44" s="3"/>
    </row>
    <row r="45" spans="1:15" x14ac:dyDescent="0.2">
      <c r="A45" s="3"/>
      <c r="B45" s="3"/>
      <c r="C45" s="3">
        <f>VLOOKUP($D$43,$B$35:$N$41,2,FALSE)</f>
        <v>443</v>
      </c>
      <c r="D45" s="3">
        <f>VLOOKUP($D$43,$B$35:$N$41,3,FALSE)</f>
        <v>473</v>
      </c>
      <c r="E45" s="3">
        <f>VLOOKUP($D$43,$B$35:$N$41,4,FALSE)</f>
        <v>438</v>
      </c>
      <c r="F45" s="3">
        <f>VLOOKUP($D$43,$B$35:$N$41,5,FALSE)</f>
        <v>355</v>
      </c>
      <c r="G45" s="3">
        <f>VLOOKUP($D$43,$B$35:$N$41,6,FALSE)</f>
        <v>299</v>
      </c>
      <c r="H45" s="3">
        <f>VLOOKUP($D$43,$B$35:$N$41,7,FALSE)</f>
        <v>279</v>
      </c>
      <c r="I45" s="3">
        <f>VLOOKUP($D$43,$B$35:$N$41,8,FALSE)</f>
        <v>285</v>
      </c>
      <c r="J45" s="3">
        <f>VLOOKUP($D$43,$B$35:$N$41,9,FALSE)</f>
        <v>325</v>
      </c>
      <c r="K45" s="3">
        <f>VLOOKUP($D$43,$B$35:$N$41,10,FALSE)</f>
        <v>393</v>
      </c>
      <c r="L45" s="3">
        <f>VLOOKUP($D$43,$B$35:$N$41,11,FALSE)</f>
        <v>444</v>
      </c>
      <c r="M45" s="3">
        <f>VLOOKUP($D$43,$B$35:$N$41,12,FALSE)</f>
        <v>438</v>
      </c>
      <c r="N45" s="3">
        <f>VLOOKUP($D$43,$B$35:$N$41,13,FALSE)</f>
        <v>421</v>
      </c>
      <c r="O45" s="3"/>
    </row>
    <row r="46" spans="1:1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</sheetData>
  <sheetProtection sheet="1" objects="1" scenarios="1" selectLockedCells="1"/>
  <mergeCells count="6">
    <mergeCell ref="B26:N26"/>
    <mergeCell ref="C1:N1"/>
    <mergeCell ref="C2:N2"/>
    <mergeCell ref="B4:N4"/>
    <mergeCell ref="B12:N12"/>
    <mergeCell ref="B19:N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Z50"/>
  <sheetViews>
    <sheetView zoomScale="85" zoomScaleNormal="85" workbookViewId="0">
      <selection activeCell="M16" sqref="M16:N16"/>
    </sheetView>
  </sheetViews>
  <sheetFormatPr defaultRowHeight="12.75" x14ac:dyDescent="0.2"/>
  <cols>
    <col min="1" max="1" width="76.42578125" style="1" customWidth="1"/>
    <col min="2" max="2" width="8.7109375" style="1" customWidth="1"/>
    <col min="3" max="3" width="10.140625" style="1" customWidth="1"/>
    <col min="4" max="4" width="9.140625" style="1" customWidth="1"/>
    <col min="5" max="5" width="4.7109375" style="1" customWidth="1"/>
    <col min="6" max="6" width="4.85546875" style="1" customWidth="1"/>
    <col min="7" max="7" width="13" style="1" customWidth="1"/>
    <col min="8" max="8" width="13.5703125" style="1" customWidth="1"/>
    <col min="9" max="14" width="7.140625" style="1" customWidth="1"/>
    <col min="15" max="15" width="9.140625" style="1" customWidth="1"/>
    <col min="16" max="17" width="9.140625" style="1"/>
    <col min="18" max="18" width="6.140625" style="1" customWidth="1"/>
    <col min="19" max="19" width="7.140625" style="1" customWidth="1"/>
    <col min="20" max="24" width="8.42578125" style="1" customWidth="1"/>
    <col min="25" max="256" width="9.140625" style="1"/>
    <col min="257" max="257" width="76.42578125" style="1" customWidth="1"/>
    <col min="258" max="258" width="8.7109375" style="1" customWidth="1"/>
    <col min="259" max="259" width="10.140625" style="1" customWidth="1"/>
    <col min="260" max="260" width="9.140625" style="1" customWidth="1"/>
    <col min="261" max="261" width="4.7109375" style="1" customWidth="1"/>
    <col min="262" max="262" width="4.85546875" style="1" customWidth="1"/>
    <col min="263" max="263" width="13" style="1" customWidth="1"/>
    <col min="264" max="264" width="13.5703125" style="1" customWidth="1"/>
    <col min="265" max="270" width="7.140625" style="1" customWidth="1"/>
    <col min="271" max="271" width="9.140625" style="1" customWidth="1"/>
    <col min="272" max="273" width="9.140625" style="1"/>
    <col min="274" max="274" width="6.140625" style="1" customWidth="1"/>
    <col min="275" max="275" width="7.140625" style="1" customWidth="1"/>
    <col min="276" max="280" width="8.42578125" style="1" customWidth="1"/>
    <col min="281" max="512" width="9.140625" style="1"/>
    <col min="513" max="513" width="76.42578125" style="1" customWidth="1"/>
    <col min="514" max="514" width="8.7109375" style="1" customWidth="1"/>
    <col min="515" max="515" width="10.140625" style="1" customWidth="1"/>
    <col min="516" max="516" width="9.140625" style="1" customWidth="1"/>
    <col min="517" max="517" width="4.7109375" style="1" customWidth="1"/>
    <col min="518" max="518" width="4.85546875" style="1" customWidth="1"/>
    <col min="519" max="519" width="13" style="1" customWidth="1"/>
    <col min="520" max="520" width="13.5703125" style="1" customWidth="1"/>
    <col min="521" max="526" width="7.140625" style="1" customWidth="1"/>
    <col min="527" max="527" width="9.140625" style="1" customWidth="1"/>
    <col min="528" max="529" width="9.140625" style="1"/>
    <col min="530" max="530" width="6.140625" style="1" customWidth="1"/>
    <col min="531" max="531" width="7.140625" style="1" customWidth="1"/>
    <col min="532" max="536" width="8.42578125" style="1" customWidth="1"/>
    <col min="537" max="768" width="9.140625" style="1"/>
    <col min="769" max="769" width="76.42578125" style="1" customWidth="1"/>
    <col min="770" max="770" width="8.7109375" style="1" customWidth="1"/>
    <col min="771" max="771" width="10.140625" style="1" customWidth="1"/>
    <col min="772" max="772" width="9.140625" style="1" customWidth="1"/>
    <col min="773" max="773" width="4.7109375" style="1" customWidth="1"/>
    <col min="774" max="774" width="4.85546875" style="1" customWidth="1"/>
    <col min="775" max="775" width="13" style="1" customWidth="1"/>
    <col min="776" max="776" width="13.5703125" style="1" customWidth="1"/>
    <col min="777" max="782" width="7.140625" style="1" customWidth="1"/>
    <col min="783" max="783" width="9.140625" style="1" customWidth="1"/>
    <col min="784" max="785" width="9.140625" style="1"/>
    <col min="786" max="786" width="6.140625" style="1" customWidth="1"/>
    <col min="787" max="787" width="7.140625" style="1" customWidth="1"/>
    <col min="788" max="792" width="8.42578125" style="1" customWidth="1"/>
    <col min="793" max="1024" width="9.140625" style="1"/>
    <col min="1025" max="1025" width="76.42578125" style="1" customWidth="1"/>
    <col min="1026" max="1026" width="8.7109375" style="1" customWidth="1"/>
    <col min="1027" max="1027" width="10.140625" style="1" customWidth="1"/>
    <col min="1028" max="1028" width="9.140625" style="1" customWidth="1"/>
    <col min="1029" max="1029" width="4.7109375" style="1" customWidth="1"/>
    <col min="1030" max="1030" width="4.85546875" style="1" customWidth="1"/>
    <col min="1031" max="1031" width="13" style="1" customWidth="1"/>
    <col min="1032" max="1032" width="13.5703125" style="1" customWidth="1"/>
    <col min="1033" max="1038" width="7.140625" style="1" customWidth="1"/>
    <col min="1039" max="1039" width="9.140625" style="1" customWidth="1"/>
    <col min="1040" max="1041" width="9.140625" style="1"/>
    <col min="1042" max="1042" width="6.140625" style="1" customWidth="1"/>
    <col min="1043" max="1043" width="7.140625" style="1" customWidth="1"/>
    <col min="1044" max="1048" width="8.42578125" style="1" customWidth="1"/>
    <col min="1049" max="1280" width="9.140625" style="1"/>
    <col min="1281" max="1281" width="76.42578125" style="1" customWidth="1"/>
    <col min="1282" max="1282" width="8.7109375" style="1" customWidth="1"/>
    <col min="1283" max="1283" width="10.140625" style="1" customWidth="1"/>
    <col min="1284" max="1284" width="9.140625" style="1" customWidth="1"/>
    <col min="1285" max="1285" width="4.7109375" style="1" customWidth="1"/>
    <col min="1286" max="1286" width="4.85546875" style="1" customWidth="1"/>
    <col min="1287" max="1287" width="13" style="1" customWidth="1"/>
    <col min="1288" max="1288" width="13.5703125" style="1" customWidth="1"/>
    <col min="1289" max="1294" width="7.140625" style="1" customWidth="1"/>
    <col min="1295" max="1295" width="9.140625" style="1" customWidth="1"/>
    <col min="1296" max="1297" width="9.140625" style="1"/>
    <col min="1298" max="1298" width="6.140625" style="1" customWidth="1"/>
    <col min="1299" max="1299" width="7.140625" style="1" customWidth="1"/>
    <col min="1300" max="1304" width="8.42578125" style="1" customWidth="1"/>
    <col min="1305" max="1536" width="9.140625" style="1"/>
    <col min="1537" max="1537" width="76.42578125" style="1" customWidth="1"/>
    <col min="1538" max="1538" width="8.7109375" style="1" customWidth="1"/>
    <col min="1539" max="1539" width="10.140625" style="1" customWidth="1"/>
    <col min="1540" max="1540" width="9.140625" style="1" customWidth="1"/>
    <col min="1541" max="1541" width="4.7109375" style="1" customWidth="1"/>
    <col min="1542" max="1542" width="4.85546875" style="1" customWidth="1"/>
    <col min="1543" max="1543" width="13" style="1" customWidth="1"/>
    <col min="1544" max="1544" width="13.5703125" style="1" customWidth="1"/>
    <col min="1545" max="1550" width="7.140625" style="1" customWidth="1"/>
    <col min="1551" max="1551" width="9.140625" style="1" customWidth="1"/>
    <col min="1552" max="1553" width="9.140625" style="1"/>
    <col min="1554" max="1554" width="6.140625" style="1" customWidth="1"/>
    <col min="1555" max="1555" width="7.140625" style="1" customWidth="1"/>
    <col min="1556" max="1560" width="8.42578125" style="1" customWidth="1"/>
    <col min="1561" max="1792" width="9.140625" style="1"/>
    <col min="1793" max="1793" width="76.42578125" style="1" customWidth="1"/>
    <col min="1794" max="1794" width="8.7109375" style="1" customWidth="1"/>
    <col min="1795" max="1795" width="10.140625" style="1" customWidth="1"/>
    <col min="1796" max="1796" width="9.140625" style="1" customWidth="1"/>
    <col min="1797" max="1797" width="4.7109375" style="1" customWidth="1"/>
    <col min="1798" max="1798" width="4.85546875" style="1" customWidth="1"/>
    <col min="1799" max="1799" width="13" style="1" customWidth="1"/>
    <col min="1800" max="1800" width="13.5703125" style="1" customWidth="1"/>
    <col min="1801" max="1806" width="7.140625" style="1" customWidth="1"/>
    <col min="1807" max="1807" width="9.140625" style="1" customWidth="1"/>
    <col min="1808" max="1809" width="9.140625" style="1"/>
    <col min="1810" max="1810" width="6.140625" style="1" customWidth="1"/>
    <col min="1811" max="1811" width="7.140625" style="1" customWidth="1"/>
    <col min="1812" max="1816" width="8.42578125" style="1" customWidth="1"/>
    <col min="1817" max="2048" width="9.140625" style="1"/>
    <col min="2049" max="2049" width="76.42578125" style="1" customWidth="1"/>
    <col min="2050" max="2050" width="8.7109375" style="1" customWidth="1"/>
    <col min="2051" max="2051" width="10.140625" style="1" customWidth="1"/>
    <col min="2052" max="2052" width="9.140625" style="1" customWidth="1"/>
    <col min="2053" max="2053" width="4.7109375" style="1" customWidth="1"/>
    <col min="2054" max="2054" width="4.85546875" style="1" customWidth="1"/>
    <col min="2055" max="2055" width="13" style="1" customWidth="1"/>
    <col min="2056" max="2056" width="13.5703125" style="1" customWidth="1"/>
    <col min="2057" max="2062" width="7.140625" style="1" customWidth="1"/>
    <col min="2063" max="2063" width="9.140625" style="1" customWidth="1"/>
    <col min="2064" max="2065" width="9.140625" style="1"/>
    <col min="2066" max="2066" width="6.140625" style="1" customWidth="1"/>
    <col min="2067" max="2067" width="7.140625" style="1" customWidth="1"/>
    <col min="2068" max="2072" width="8.42578125" style="1" customWidth="1"/>
    <col min="2073" max="2304" width="9.140625" style="1"/>
    <col min="2305" max="2305" width="76.42578125" style="1" customWidth="1"/>
    <col min="2306" max="2306" width="8.7109375" style="1" customWidth="1"/>
    <col min="2307" max="2307" width="10.140625" style="1" customWidth="1"/>
    <col min="2308" max="2308" width="9.140625" style="1" customWidth="1"/>
    <col min="2309" max="2309" width="4.7109375" style="1" customWidth="1"/>
    <col min="2310" max="2310" width="4.85546875" style="1" customWidth="1"/>
    <col min="2311" max="2311" width="13" style="1" customWidth="1"/>
    <col min="2312" max="2312" width="13.5703125" style="1" customWidth="1"/>
    <col min="2313" max="2318" width="7.140625" style="1" customWidth="1"/>
    <col min="2319" max="2319" width="9.140625" style="1" customWidth="1"/>
    <col min="2320" max="2321" width="9.140625" style="1"/>
    <col min="2322" max="2322" width="6.140625" style="1" customWidth="1"/>
    <col min="2323" max="2323" width="7.140625" style="1" customWidth="1"/>
    <col min="2324" max="2328" width="8.42578125" style="1" customWidth="1"/>
    <col min="2329" max="2560" width="9.140625" style="1"/>
    <col min="2561" max="2561" width="76.42578125" style="1" customWidth="1"/>
    <col min="2562" max="2562" width="8.7109375" style="1" customWidth="1"/>
    <col min="2563" max="2563" width="10.140625" style="1" customWidth="1"/>
    <col min="2564" max="2564" width="9.140625" style="1" customWidth="1"/>
    <col min="2565" max="2565" width="4.7109375" style="1" customWidth="1"/>
    <col min="2566" max="2566" width="4.85546875" style="1" customWidth="1"/>
    <col min="2567" max="2567" width="13" style="1" customWidth="1"/>
    <col min="2568" max="2568" width="13.5703125" style="1" customWidth="1"/>
    <col min="2569" max="2574" width="7.140625" style="1" customWidth="1"/>
    <col min="2575" max="2575" width="9.140625" style="1" customWidth="1"/>
    <col min="2576" max="2577" width="9.140625" style="1"/>
    <col min="2578" max="2578" width="6.140625" style="1" customWidth="1"/>
    <col min="2579" max="2579" width="7.140625" style="1" customWidth="1"/>
    <col min="2580" max="2584" width="8.42578125" style="1" customWidth="1"/>
    <col min="2585" max="2816" width="9.140625" style="1"/>
    <col min="2817" max="2817" width="76.42578125" style="1" customWidth="1"/>
    <col min="2818" max="2818" width="8.7109375" style="1" customWidth="1"/>
    <col min="2819" max="2819" width="10.140625" style="1" customWidth="1"/>
    <col min="2820" max="2820" width="9.140625" style="1" customWidth="1"/>
    <col min="2821" max="2821" width="4.7109375" style="1" customWidth="1"/>
    <col min="2822" max="2822" width="4.85546875" style="1" customWidth="1"/>
    <col min="2823" max="2823" width="13" style="1" customWidth="1"/>
    <col min="2824" max="2824" width="13.5703125" style="1" customWidth="1"/>
    <col min="2825" max="2830" width="7.140625" style="1" customWidth="1"/>
    <col min="2831" max="2831" width="9.140625" style="1" customWidth="1"/>
    <col min="2832" max="2833" width="9.140625" style="1"/>
    <col min="2834" max="2834" width="6.140625" style="1" customWidth="1"/>
    <col min="2835" max="2835" width="7.140625" style="1" customWidth="1"/>
    <col min="2836" max="2840" width="8.42578125" style="1" customWidth="1"/>
    <col min="2841" max="3072" width="9.140625" style="1"/>
    <col min="3073" max="3073" width="76.42578125" style="1" customWidth="1"/>
    <col min="3074" max="3074" width="8.7109375" style="1" customWidth="1"/>
    <col min="3075" max="3075" width="10.140625" style="1" customWidth="1"/>
    <col min="3076" max="3076" width="9.140625" style="1" customWidth="1"/>
    <col min="3077" max="3077" width="4.7109375" style="1" customWidth="1"/>
    <col min="3078" max="3078" width="4.85546875" style="1" customWidth="1"/>
    <col min="3079" max="3079" width="13" style="1" customWidth="1"/>
    <col min="3080" max="3080" width="13.5703125" style="1" customWidth="1"/>
    <col min="3081" max="3086" width="7.140625" style="1" customWidth="1"/>
    <col min="3087" max="3087" width="9.140625" style="1" customWidth="1"/>
    <col min="3088" max="3089" width="9.140625" style="1"/>
    <col min="3090" max="3090" width="6.140625" style="1" customWidth="1"/>
    <col min="3091" max="3091" width="7.140625" style="1" customWidth="1"/>
    <col min="3092" max="3096" width="8.42578125" style="1" customWidth="1"/>
    <col min="3097" max="3328" width="9.140625" style="1"/>
    <col min="3329" max="3329" width="76.42578125" style="1" customWidth="1"/>
    <col min="3330" max="3330" width="8.7109375" style="1" customWidth="1"/>
    <col min="3331" max="3331" width="10.140625" style="1" customWidth="1"/>
    <col min="3332" max="3332" width="9.140625" style="1" customWidth="1"/>
    <col min="3333" max="3333" width="4.7109375" style="1" customWidth="1"/>
    <col min="3334" max="3334" width="4.85546875" style="1" customWidth="1"/>
    <col min="3335" max="3335" width="13" style="1" customWidth="1"/>
    <col min="3336" max="3336" width="13.5703125" style="1" customWidth="1"/>
    <col min="3337" max="3342" width="7.140625" style="1" customWidth="1"/>
    <col min="3343" max="3343" width="9.140625" style="1" customWidth="1"/>
    <col min="3344" max="3345" width="9.140625" style="1"/>
    <col min="3346" max="3346" width="6.140625" style="1" customWidth="1"/>
    <col min="3347" max="3347" width="7.140625" style="1" customWidth="1"/>
    <col min="3348" max="3352" width="8.42578125" style="1" customWidth="1"/>
    <col min="3353" max="3584" width="9.140625" style="1"/>
    <col min="3585" max="3585" width="76.42578125" style="1" customWidth="1"/>
    <col min="3586" max="3586" width="8.7109375" style="1" customWidth="1"/>
    <col min="3587" max="3587" width="10.140625" style="1" customWidth="1"/>
    <col min="3588" max="3588" width="9.140625" style="1" customWidth="1"/>
    <col min="3589" max="3589" width="4.7109375" style="1" customWidth="1"/>
    <col min="3590" max="3590" width="4.85546875" style="1" customWidth="1"/>
    <col min="3591" max="3591" width="13" style="1" customWidth="1"/>
    <col min="3592" max="3592" width="13.5703125" style="1" customWidth="1"/>
    <col min="3593" max="3598" width="7.140625" style="1" customWidth="1"/>
    <col min="3599" max="3599" width="9.140625" style="1" customWidth="1"/>
    <col min="3600" max="3601" width="9.140625" style="1"/>
    <col min="3602" max="3602" width="6.140625" style="1" customWidth="1"/>
    <col min="3603" max="3603" width="7.140625" style="1" customWidth="1"/>
    <col min="3604" max="3608" width="8.42578125" style="1" customWidth="1"/>
    <col min="3609" max="3840" width="9.140625" style="1"/>
    <col min="3841" max="3841" width="76.42578125" style="1" customWidth="1"/>
    <col min="3842" max="3842" width="8.7109375" style="1" customWidth="1"/>
    <col min="3843" max="3843" width="10.140625" style="1" customWidth="1"/>
    <col min="3844" max="3844" width="9.140625" style="1" customWidth="1"/>
    <col min="3845" max="3845" width="4.7109375" style="1" customWidth="1"/>
    <col min="3846" max="3846" width="4.85546875" style="1" customWidth="1"/>
    <col min="3847" max="3847" width="13" style="1" customWidth="1"/>
    <col min="3848" max="3848" width="13.5703125" style="1" customWidth="1"/>
    <col min="3849" max="3854" width="7.140625" style="1" customWidth="1"/>
    <col min="3855" max="3855" width="9.140625" style="1" customWidth="1"/>
    <col min="3856" max="3857" width="9.140625" style="1"/>
    <col min="3858" max="3858" width="6.140625" style="1" customWidth="1"/>
    <col min="3859" max="3859" width="7.140625" style="1" customWidth="1"/>
    <col min="3860" max="3864" width="8.42578125" style="1" customWidth="1"/>
    <col min="3865" max="4096" width="9.140625" style="1"/>
    <col min="4097" max="4097" width="76.42578125" style="1" customWidth="1"/>
    <col min="4098" max="4098" width="8.7109375" style="1" customWidth="1"/>
    <col min="4099" max="4099" width="10.140625" style="1" customWidth="1"/>
    <col min="4100" max="4100" width="9.140625" style="1" customWidth="1"/>
    <col min="4101" max="4101" width="4.7109375" style="1" customWidth="1"/>
    <col min="4102" max="4102" width="4.85546875" style="1" customWidth="1"/>
    <col min="4103" max="4103" width="13" style="1" customWidth="1"/>
    <col min="4104" max="4104" width="13.5703125" style="1" customWidth="1"/>
    <col min="4105" max="4110" width="7.140625" style="1" customWidth="1"/>
    <col min="4111" max="4111" width="9.140625" style="1" customWidth="1"/>
    <col min="4112" max="4113" width="9.140625" style="1"/>
    <col min="4114" max="4114" width="6.140625" style="1" customWidth="1"/>
    <col min="4115" max="4115" width="7.140625" style="1" customWidth="1"/>
    <col min="4116" max="4120" width="8.42578125" style="1" customWidth="1"/>
    <col min="4121" max="4352" width="9.140625" style="1"/>
    <col min="4353" max="4353" width="76.42578125" style="1" customWidth="1"/>
    <col min="4354" max="4354" width="8.7109375" style="1" customWidth="1"/>
    <col min="4355" max="4355" width="10.140625" style="1" customWidth="1"/>
    <col min="4356" max="4356" width="9.140625" style="1" customWidth="1"/>
    <col min="4357" max="4357" width="4.7109375" style="1" customWidth="1"/>
    <col min="4358" max="4358" width="4.85546875" style="1" customWidth="1"/>
    <col min="4359" max="4359" width="13" style="1" customWidth="1"/>
    <col min="4360" max="4360" width="13.5703125" style="1" customWidth="1"/>
    <col min="4361" max="4366" width="7.140625" style="1" customWidth="1"/>
    <col min="4367" max="4367" width="9.140625" style="1" customWidth="1"/>
    <col min="4368" max="4369" width="9.140625" style="1"/>
    <col min="4370" max="4370" width="6.140625" style="1" customWidth="1"/>
    <col min="4371" max="4371" width="7.140625" style="1" customWidth="1"/>
    <col min="4372" max="4376" width="8.42578125" style="1" customWidth="1"/>
    <col min="4377" max="4608" width="9.140625" style="1"/>
    <col min="4609" max="4609" width="76.42578125" style="1" customWidth="1"/>
    <col min="4610" max="4610" width="8.7109375" style="1" customWidth="1"/>
    <col min="4611" max="4611" width="10.140625" style="1" customWidth="1"/>
    <col min="4612" max="4612" width="9.140625" style="1" customWidth="1"/>
    <col min="4613" max="4613" width="4.7109375" style="1" customWidth="1"/>
    <col min="4614" max="4614" width="4.85546875" style="1" customWidth="1"/>
    <col min="4615" max="4615" width="13" style="1" customWidth="1"/>
    <col min="4616" max="4616" width="13.5703125" style="1" customWidth="1"/>
    <col min="4617" max="4622" width="7.140625" style="1" customWidth="1"/>
    <col min="4623" max="4623" width="9.140625" style="1" customWidth="1"/>
    <col min="4624" max="4625" width="9.140625" style="1"/>
    <col min="4626" max="4626" width="6.140625" style="1" customWidth="1"/>
    <col min="4627" max="4627" width="7.140625" style="1" customWidth="1"/>
    <col min="4628" max="4632" width="8.42578125" style="1" customWidth="1"/>
    <col min="4633" max="4864" width="9.140625" style="1"/>
    <col min="4865" max="4865" width="76.42578125" style="1" customWidth="1"/>
    <col min="4866" max="4866" width="8.7109375" style="1" customWidth="1"/>
    <col min="4867" max="4867" width="10.140625" style="1" customWidth="1"/>
    <col min="4868" max="4868" width="9.140625" style="1" customWidth="1"/>
    <col min="4869" max="4869" width="4.7109375" style="1" customWidth="1"/>
    <col min="4870" max="4870" width="4.85546875" style="1" customWidth="1"/>
    <col min="4871" max="4871" width="13" style="1" customWidth="1"/>
    <col min="4872" max="4872" width="13.5703125" style="1" customWidth="1"/>
    <col min="4873" max="4878" width="7.140625" style="1" customWidth="1"/>
    <col min="4879" max="4879" width="9.140625" style="1" customWidth="1"/>
    <col min="4880" max="4881" width="9.140625" style="1"/>
    <col min="4882" max="4882" width="6.140625" style="1" customWidth="1"/>
    <col min="4883" max="4883" width="7.140625" style="1" customWidth="1"/>
    <col min="4884" max="4888" width="8.42578125" style="1" customWidth="1"/>
    <col min="4889" max="5120" width="9.140625" style="1"/>
    <col min="5121" max="5121" width="76.42578125" style="1" customWidth="1"/>
    <col min="5122" max="5122" width="8.7109375" style="1" customWidth="1"/>
    <col min="5123" max="5123" width="10.140625" style="1" customWidth="1"/>
    <col min="5124" max="5124" width="9.140625" style="1" customWidth="1"/>
    <col min="5125" max="5125" width="4.7109375" style="1" customWidth="1"/>
    <col min="5126" max="5126" width="4.85546875" style="1" customWidth="1"/>
    <col min="5127" max="5127" width="13" style="1" customWidth="1"/>
    <col min="5128" max="5128" width="13.5703125" style="1" customWidth="1"/>
    <col min="5129" max="5134" width="7.140625" style="1" customWidth="1"/>
    <col min="5135" max="5135" width="9.140625" style="1" customWidth="1"/>
    <col min="5136" max="5137" width="9.140625" style="1"/>
    <col min="5138" max="5138" width="6.140625" style="1" customWidth="1"/>
    <col min="5139" max="5139" width="7.140625" style="1" customWidth="1"/>
    <col min="5140" max="5144" width="8.42578125" style="1" customWidth="1"/>
    <col min="5145" max="5376" width="9.140625" style="1"/>
    <col min="5377" max="5377" width="76.42578125" style="1" customWidth="1"/>
    <col min="5378" max="5378" width="8.7109375" style="1" customWidth="1"/>
    <col min="5379" max="5379" width="10.140625" style="1" customWidth="1"/>
    <col min="5380" max="5380" width="9.140625" style="1" customWidth="1"/>
    <col min="5381" max="5381" width="4.7109375" style="1" customWidth="1"/>
    <col min="5382" max="5382" width="4.85546875" style="1" customWidth="1"/>
    <col min="5383" max="5383" width="13" style="1" customWidth="1"/>
    <col min="5384" max="5384" width="13.5703125" style="1" customWidth="1"/>
    <col min="5385" max="5390" width="7.140625" style="1" customWidth="1"/>
    <col min="5391" max="5391" width="9.140625" style="1" customWidth="1"/>
    <col min="5392" max="5393" width="9.140625" style="1"/>
    <col min="5394" max="5394" width="6.140625" style="1" customWidth="1"/>
    <col min="5395" max="5395" width="7.140625" style="1" customWidth="1"/>
    <col min="5396" max="5400" width="8.42578125" style="1" customWidth="1"/>
    <col min="5401" max="5632" width="9.140625" style="1"/>
    <col min="5633" max="5633" width="76.42578125" style="1" customWidth="1"/>
    <col min="5634" max="5634" width="8.7109375" style="1" customWidth="1"/>
    <col min="5635" max="5635" width="10.140625" style="1" customWidth="1"/>
    <col min="5636" max="5636" width="9.140625" style="1" customWidth="1"/>
    <col min="5637" max="5637" width="4.7109375" style="1" customWidth="1"/>
    <col min="5638" max="5638" width="4.85546875" style="1" customWidth="1"/>
    <col min="5639" max="5639" width="13" style="1" customWidth="1"/>
    <col min="5640" max="5640" width="13.5703125" style="1" customWidth="1"/>
    <col min="5641" max="5646" width="7.140625" style="1" customWidth="1"/>
    <col min="5647" max="5647" width="9.140625" style="1" customWidth="1"/>
    <col min="5648" max="5649" width="9.140625" style="1"/>
    <col min="5650" max="5650" width="6.140625" style="1" customWidth="1"/>
    <col min="5651" max="5651" width="7.140625" style="1" customWidth="1"/>
    <col min="5652" max="5656" width="8.42578125" style="1" customWidth="1"/>
    <col min="5657" max="5888" width="9.140625" style="1"/>
    <col min="5889" max="5889" width="76.42578125" style="1" customWidth="1"/>
    <col min="5890" max="5890" width="8.7109375" style="1" customWidth="1"/>
    <col min="5891" max="5891" width="10.140625" style="1" customWidth="1"/>
    <col min="5892" max="5892" width="9.140625" style="1" customWidth="1"/>
    <col min="5893" max="5893" width="4.7109375" style="1" customWidth="1"/>
    <col min="5894" max="5894" width="4.85546875" style="1" customWidth="1"/>
    <col min="5895" max="5895" width="13" style="1" customWidth="1"/>
    <col min="5896" max="5896" width="13.5703125" style="1" customWidth="1"/>
    <col min="5897" max="5902" width="7.140625" style="1" customWidth="1"/>
    <col min="5903" max="5903" width="9.140625" style="1" customWidth="1"/>
    <col min="5904" max="5905" width="9.140625" style="1"/>
    <col min="5906" max="5906" width="6.140625" style="1" customWidth="1"/>
    <col min="5907" max="5907" width="7.140625" style="1" customWidth="1"/>
    <col min="5908" max="5912" width="8.42578125" style="1" customWidth="1"/>
    <col min="5913" max="6144" width="9.140625" style="1"/>
    <col min="6145" max="6145" width="76.42578125" style="1" customWidth="1"/>
    <col min="6146" max="6146" width="8.7109375" style="1" customWidth="1"/>
    <col min="6147" max="6147" width="10.140625" style="1" customWidth="1"/>
    <col min="6148" max="6148" width="9.140625" style="1" customWidth="1"/>
    <col min="6149" max="6149" width="4.7109375" style="1" customWidth="1"/>
    <col min="6150" max="6150" width="4.85546875" style="1" customWidth="1"/>
    <col min="6151" max="6151" width="13" style="1" customWidth="1"/>
    <col min="6152" max="6152" width="13.5703125" style="1" customWidth="1"/>
    <col min="6153" max="6158" width="7.140625" style="1" customWidth="1"/>
    <col min="6159" max="6159" width="9.140625" style="1" customWidth="1"/>
    <col min="6160" max="6161" width="9.140625" style="1"/>
    <col min="6162" max="6162" width="6.140625" style="1" customWidth="1"/>
    <col min="6163" max="6163" width="7.140625" style="1" customWidth="1"/>
    <col min="6164" max="6168" width="8.42578125" style="1" customWidth="1"/>
    <col min="6169" max="6400" width="9.140625" style="1"/>
    <col min="6401" max="6401" width="76.42578125" style="1" customWidth="1"/>
    <col min="6402" max="6402" width="8.7109375" style="1" customWidth="1"/>
    <col min="6403" max="6403" width="10.140625" style="1" customWidth="1"/>
    <col min="6404" max="6404" width="9.140625" style="1" customWidth="1"/>
    <col min="6405" max="6405" width="4.7109375" style="1" customWidth="1"/>
    <col min="6406" max="6406" width="4.85546875" style="1" customWidth="1"/>
    <col min="6407" max="6407" width="13" style="1" customWidth="1"/>
    <col min="6408" max="6408" width="13.5703125" style="1" customWidth="1"/>
    <col min="6409" max="6414" width="7.140625" style="1" customWidth="1"/>
    <col min="6415" max="6415" width="9.140625" style="1" customWidth="1"/>
    <col min="6416" max="6417" width="9.140625" style="1"/>
    <col min="6418" max="6418" width="6.140625" style="1" customWidth="1"/>
    <col min="6419" max="6419" width="7.140625" style="1" customWidth="1"/>
    <col min="6420" max="6424" width="8.42578125" style="1" customWidth="1"/>
    <col min="6425" max="6656" width="9.140625" style="1"/>
    <col min="6657" max="6657" width="76.42578125" style="1" customWidth="1"/>
    <col min="6658" max="6658" width="8.7109375" style="1" customWidth="1"/>
    <col min="6659" max="6659" width="10.140625" style="1" customWidth="1"/>
    <col min="6660" max="6660" width="9.140625" style="1" customWidth="1"/>
    <col min="6661" max="6661" width="4.7109375" style="1" customWidth="1"/>
    <col min="6662" max="6662" width="4.85546875" style="1" customWidth="1"/>
    <col min="6663" max="6663" width="13" style="1" customWidth="1"/>
    <col min="6664" max="6664" width="13.5703125" style="1" customWidth="1"/>
    <col min="6665" max="6670" width="7.140625" style="1" customWidth="1"/>
    <col min="6671" max="6671" width="9.140625" style="1" customWidth="1"/>
    <col min="6672" max="6673" width="9.140625" style="1"/>
    <col min="6674" max="6674" width="6.140625" style="1" customWidth="1"/>
    <col min="6675" max="6675" width="7.140625" style="1" customWidth="1"/>
    <col min="6676" max="6680" width="8.42578125" style="1" customWidth="1"/>
    <col min="6681" max="6912" width="9.140625" style="1"/>
    <col min="6913" max="6913" width="76.42578125" style="1" customWidth="1"/>
    <col min="6914" max="6914" width="8.7109375" style="1" customWidth="1"/>
    <col min="6915" max="6915" width="10.140625" style="1" customWidth="1"/>
    <col min="6916" max="6916" width="9.140625" style="1" customWidth="1"/>
    <col min="6917" max="6917" width="4.7109375" style="1" customWidth="1"/>
    <col min="6918" max="6918" width="4.85546875" style="1" customWidth="1"/>
    <col min="6919" max="6919" width="13" style="1" customWidth="1"/>
    <col min="6920" max="6920" width="13.5703125" style="1" customWidth="1"/>
    <col min="6921" max="6926" width="7.140625" style="1" customWidth="1"/>
    <col min="6927" max="6927" width="9.140625" style="1" customWidth="1"/>
    <col min="6928" max="6929" width="9.140625" style="1"/>
    <col min="6930" max="6930" width="6.140625" style="1" customWidth="1"/>
    <col min="6931" max="6931" width="7.140625" style="1" customWidth="1"/>
    <col min="6932" max="6936" width="8.42578125" style="1" customWidth="1"/>
    <col min="6937" max="7168" width="9.140625" style="1"/>
    <col min="7169" max="7169" width="76.42578125" style="1" customWidth="1"/>
    <col min="7170" max="7170" width="8.7109375" style="1" customWidth="1"/>
    <col min="7171" max="7171" width="10.140625" style="1" customWidth="1"/>
    <col min="7172" max="7172" width="9.140625" style="1" customWidth="1"/>
    <col min="7173" max="7173" width="4.7109375" style="1" customWidth="1"/>
    <col min="7174" max="7174" width="4.85546875" style="1" customWidth="1"/>
    <col min="7175" max="7175" width="13" style="1" customWidth="1"/>
    <col min="7176" max="7176" width="13.5703125" style="1" customWidth="1"/>
    <col min="7177" max="7182" width="7.140625" style="1" customWidth="1"/>
    <col min="7183" max="7183" width="9.140625" style="1" customWidth="1"/>
    <col min="7184" max="7185" width="9.140625" style="1"/>
    <col min="7186" max="7186" width="6.140625" style="1" customWidth="1"/>
    <col min="7187" max="7187" width="7.140625" style="1" customWidth="1"/>
    <col min="7188" max="7192" width="8.42578125" style="1" customWidth="1"/>
    <col min="7193" max="7424" width="9.140625" style="1"/>
    <col min="7425" max="7425" width="76.42578125" style="1" customWidth="1"/>
    <col min="7426" max="7426" width="8.7109375" style="1" customWidth="1"/>
    <col min="7427" max="7427" width="10.140625" style="1" customWidth="1"/>
    <col min="7428" max="7428" width="9.140625" style="1" customWidth="1"/>
    <col min="7429" max="7429" width="4.7109375" style="1" customWidth="1"/>
    <col min="7430" max="7430" width="4.85546875" style="1" customWidth="1"/>
    <col min="7431" max="7431" width="13" style="1" customWidth="1"/>
    <col min="7432" max="7432" width="13.5703125" style="1" customWidth="1"/>
    <col min="7433" max="7438" width="7.140625" style="1" customWidth="1"/>
    <col min="7439" max="7439" width="9.140625" style="1" customWidth="1"/>
    <col min="7440" max="7441" width="9.140625" style="1"/>
    <col min="7442" max="7442" width="6.140625" style="1" customWidth="1"/>
    <col min="7443" max="7443" width="7.140625" style="1" customWidth="1"/>
    <col min="7444" max="7448" width="8.42578125" style="1" customWidth="1"/>
    <col min="7449" max="7680" width="9.140625" style="1"/>
    <col min="7681" max="7681" width="76.42578125" style="1" customWidth="1"/>
    <col min="7682" max="7682" width="8.7109375" style="1" customWidth="1"/>
    <col min="7683" max="7683" width="10.140625" style="1" customWidth="1"/>
    <col min="7684" max="7684" width="9.140625" style="1" customWidth="1"/>
    <col min="7685" max="7685" width="4.7109375" style="1" customWidth="1"/>
    <col min="7686" max="7686" width="4.85546875" style="1" customWidth="1"/>
    <col min="7687" max="7687" width="13" style="1" customWidth="1"/>
    <col min="7688" max="7688" width="13.5703125" style="1" customWidth="1"/>
    <col min="7689" max="7694" width="7.140625" style="1" customWidth="1"/>
    <col min="7695" max="7695" width="9.140625" style="1" customWidth="1"/>
    <col min="7696" max="7697" width="9.140625" style="1"/>
    <col min="7698" max="7698" width="6.140625" style="1" customWidth="1"/>
    <col min="7699" max="7699" width="7.140625" style="1" customWidth="1"/>
    <col min="7700" max="7704" width="8.42578125" style="1" customWidth="1"/>
    <col min="7705" max="7936" width="9.140625" style="1"/>
    <col min="7937" max="7937" width="76.42578125" style="1" customWidth="1"/>
    <col min="7938" max="7938" width="8.7109375" style="1" customWidth="1"/>
    <col min="7939" max="7939" width="10.140625" style="1" customWidth="1"/>
    <col min="7940" max="7940" width="9.140625" style="1" customWidth="1"/>
    <col min="7941" max="7941" width="4.7109375" style="1" customWidth="1"/>
    <col min="7942" max="7942" width="4.85546875" style="1" customWidth="1"/>
    <col min="7943" max="7943" width="13" style="1" customWidth="1"/>
    <col min="7944" max="7944" width="13.5703125" style="1" customWidth="1"/>
    <col min="7945" max="7950" width="7.140625" style="1" customWidth="1"/>
    <col min="7951" max="7951" width="9.140625" style="1" customWidth="1"/>
    <col min="7952" max="7953" width="9.140625" style="1"/>
    <col min="7954" max="7954" width="6.140625" style="1" customWidth="1"/>
    <col min="7955" max="7955" width="7.140625" style="1" customWidth="1"/>
    <col min="7956" max="7960" width="8.42578125" style="1" customWidth="1"/>
    <col min="7961" max="8192" width="9.140625" style="1"/>
    <col min="8193" max="8193" width="76.42578125" style="1" customWidth="1"/>
    <col min="8194" max="8194" width="8.7109375" style="1" customWidth="1"/>
    <col min="8195" max="8195" width="10.140625" style="1" customWidth="1"/>
    <col min="8196" max="8196" width="9.140625" style="1" customWidth="1"/>
    <col min="8197" max="8197" width="4.7109375" style="1" customWidth="1"/>
    <col min="8198" max="8198" width="4.85546875" style="1" customWidth="1"/>
    <col min="8199" max="8199" width="13" style="1" customWidth="1"/>
    <col min="8200" max="8200" width="13.5703125" style="1" customWidth="1"/>
    <col min="8201" max="8206" width="7.140625" style="1" customWidth="1"/>
    <col min="8207" max="8207" width="9.140625" style="1" customWidth="1"/>
    <col min="8208" max="8209" width="9.140625" style="1"/>
    <col min="8210" max="8210" width="6.140625" style="1" customWidth="1"/>
    <col min="8211" max="8211" width="7.140625" style="1" customWidth="1"/>
    <col min="8212" max="8216" width="8.42578125" style="1" customWidth="1"/>
    <col min="8217" max="8448" width="9.140625" style="1"/>
    <col min="8449" max="8449" width="76.42578125" style="1" customWidth="1"/>
    <col min="8450" max="8450" width="8.7109375" style="1" customWidth="1"/>
    <col min="8451" max="8451" width="10.140625" style="1" customWidth="1"/>
    <col min="8452" max="8452" width="9.140625" style="1" customWidth="1"/>
    <col min="8453" max="8453" width="4.7109375" style="1" customWidth="1"/>
    <col min="8454" max="8454" width="4.85546875" style="1" customWidth="1"/>
    <col min="8455" max="8455" width="13" style="1" customWidth="1"/>
    <col min="8456" max="8456" width="13.5703125" style="1" customWidth="1"/>
    <col min="8457" max="8462" width="7.140625" style="1" customWidth="1"/>
    <col min="8463" max="8463" width="9.140625" style="1" customWidth="1"/>
    <col min="8464" max="8465" width="9.140625" style="1"/>
    <col min="8466" max="8466" width="6.140625" style="1" customWidth="1"/>
    <col min="8467" max="8467" width="7.140625" style="1" customWidth="1"/>
    <col min="8468" max="8472" width="8.42578125" style="1" customWidth="1"/>
    <col min="8473" max="8704" width="9.140625" style="1"/>
    <col min="8705" max="8705" width="76.42578125" style="1" customWidth="1"/>
    <col min="8706" max="8706" width="8.7109375" style="1" customWidth="1"/>
    <col min="8707" max="8707" width="10.140625" style="1" customWidth="1"/>
    <col min="8708" max="8708" width="9.140625" style="1" customWidth="1"/>
    <col min="8709" max="8709" width="4.7109375" style="1" customWidth="1"/>
    <col min="8710" max="8710" width="4.85546875" style="1" customWidth="1"/>
    <col min="8711" max="8711" width="13" style="1" customWidth="1"/>
    <col min="8712" max="8712" width="13.5703125" style="1" customWidth="1"/>
    <col min="8713" max="8718" width="7.140625" style="1" customWidth="1"/>
    <col min="8719" max="8719" width="9.140625" style="1" customWidth="1"/>
    <col min="8720" max="8721" width="9.140625" style="1"/>
    <col min="8722" max="8722" width="6.140625" style="1" customWidth="1"/>
    <col min="8723" max="8723" width="7.140625" style="1" customWidth="1"/>
    <col min="8724" max="8728" width="8.42578125" style="1" customWidth="1"/>
    <col min="8729" max="8960" width="9.140625" style="1"/>
    <col min="8961" max="8961" width="76.42578125" style="1" customWidth="1"/>
    <col min="8962" max="8962" width="8.7109375" style="1" customWidth="1"/>
    <col min="8963" max="8963" width="10.140625" style="1" customWidth="1"/>
    <col min="8964" max="8964" width="9.140625" style="1" customWidth="1"/>
    <col min="8965" max="8965" width="4.7109375" style="1" customWidth="1"/>
    <col min="8966" max="8966" width="4.85546875" style="1" customWidth="1"/>
    <col min="8967" max="8967" width="13" style="1" customWidth="1"/>
    <col min="8968" max="8968" width="13.5703125" style="1" customWidth="1"/>
    <col min="8969" max="8974" width="7.140625" style="1" customWidth="1"/>
    <col min="8975" max="8975" width="9.140625" style="1" customWidth="1"/>
    <col min="8976" max="8977" width="9.140625" style="1"/>
    <col min="8978" max="8978" width="6.140625" style="1" customWidth="1"/>
    <col min="8979" max="8979" width="7.140625" style="1" customWidth="1"/>
    <col min="8980" max="8984" width="8.42578125" style="1" customWidth="1"/>
    <col min="8985" max="9216" width="9.140625" style="1"/>
    <col min="9217" max="9217" width="76.42578125" style="1" customWidth="1"/>
    <col min="9218" max="9218" width="8.7109375" style="1" customWidth="1"/>
    <col min="9219" max="9219" width="10.140625" style="1" customWidth="1"/>
    <col min="9220" max="9220" width="9.140625" style="1" customWidth="1"/>
    <col min="9221" max="9221" width="4.7109375" style="1" customWidth="1"/>
    <col min="9222" max="9222" width="4.85546875" style="1" customWidth="1"/>
    <col min="9223" max="9223" width="13" style="1" customWidth="1"/>
    <col min="9224" max="9224" width="13.5703125" style="1" customWidth="1"/>
    <col min="9225" max="9230" width="7.140625" style="1" customWidth="1"/>
    <col min="9231" max="9231" width="9.140625" style="1" customWidth="1"/>
    <col min="9232" max="9233" width="9.140625" style="1"/>
    <col min="9234" max="9234" width="6.140625" style="1" customWidth="1"/>
    <col min="9235" max="9235" width="7.140625" style="1" customWidth="1"/>
    <col min="9236" max="9240" width="8.42578125" style="1" customWidth="1"/>
    <col min="9241" max="9472" width="9.140625" style="1"/>
    <col min="9473" max="9473" width="76.42578125" style="1" customWidth="1"/>
    <col min="9474" max="9474" width="8.7109375" style="1" customWidth="1"/>
    <col min="9475" max="9475" width="10.140625" style="1" customWidth="1"/>
    <col min="9476" max="9476" width="9.140625" style="1" customWidth="1"/>
    <col min="9477" max="9477" width="4.7109375" style="1" customWidth="1"/>
    <col min="9478" max="9478" width="4.85546875" style="1" customWidth="1"/>
    <col min="9479" max="9479" width="13" style="1" customWidth="1"/>
    <col min="9480" max="9480" width="13.5703125" style="1" customWidth="1"/>
    <col min="9481" max="9486" width="7.140625" style="1" customWidth="1"/>
    <col min="9487" max="9487" width="9.140625" style="1" customWidth="1"/>
    <col min="9488" max="9489" width="9.140625" style="1"/>
    <col min="9490" max="9490" width="6.140625" style="1" customWidth="1"/>
    <col min="9491" max="9491" width="7.140625" style="1" customWidth="1"/>
    <col min="9492" max="9496" width="8.42578125" style="1" customWidth="1"/>
    <col min="9497" max="9728" width="9.140625" style="1"/>
    <col min="9729" max="9729" width="76.42578125" style="1" customWidth="1"/>
    <col min="9730" max="9730" width="8.7109375" style="1" customWidth="1"/>
    <col min="9731" max="9731" width="10.140625" style="1" customWidth="1"/>
    <col min="9732" max="9732" width="9.140625" style="1" customWidth="1"/>
    <col min="9733" max="9733" width="4.7109375" style="1" customWidth="1"/>
    <col min="9734" max="9734" width="4.85546875" style="1" customWidth="1"/>
    <col min="9735" max="9735" width="13" style="1" customWidth="1"/>
    <col min="9736" max="9736" width="13.5703125" style="1" customWidth="1"/>
    <col min="9737" max="9742" width="7.140625" style="1" customWidth="1"/>
    <col min="9743" max="9743" width="9.140625" style="1" customWidth="1"/>
    <col min="9744" max="9745" width="9.140625" style="1"/>
    <col min="9746" max="9746" width="6.140625" style="1" customWidth="1"/>
    <col min="9747" max="9747" width="7.140625" style="1" customWidth="1"/>
    <col min="9748" max="9752" width="8.42578125" style="1" customWidth="1"/>
    <col min="9753" max="9984" width="9.140625" style="1"/>
    <col min="9985" max="9985" width="76.42578125" style="1" customWidth="1"/>
    <col min="9986" max="9986" width="8.7109375" style="1" customWidth="1"/>
    <col min="9987" max="9987" width="10.140625" style="1" customWidth="1"/>
    <col min="9988" max="9988" width="9.140625" style="1" customWidth="1"/>
    <col min="9989" max="9989" width="4.7109375" style="1" customWidth="1"/>
    <col min="9990" max="9990" width="4.85546875" style="1" customWidth="1"/>
    <col min="9991" max="9991" width="13" style="1" customWidth="1"/>
    <col min="9992" max="9992" width="13.5703125" style="1" customWidth="1"/>
    <col min="9993" max="9998" width="7.140625" style="1" customWidth="1"/>
    <col min="9999" max="9999" width="9.140625" style="1" customWidth="1"/>
    <col min="10000" max="10001" width="9.140625" style="1"/>
    <col min="10002" max="10002" width="6.140625" style="1" customWidth="1"/>
    <col min="10003" max="10003" width="7.140625" style="1" customWidth="1"/>
    <col min="10004" max="10008" width="8.42578125" style="1" customWidth="1"/>
    <col min="10009" max="10240" width="9.140625" style="1"/>
    <col min="10241" max="10241" width="76.42578125" style="1" customWidth="1"/>
    <col min="10242" max="10242" width="8.7109375" style="1" customWidth="1"/>
    <col min="10243" max="10243" width="10.140625" style="1" customWidth="1"/>
    <col min="10244" max="10244" width="9.140625" style="1" customWidth="1"/>
    <col min="10245" max="10245" width="4.7109375" style="1" customWidth="1"/>
    <col min="10246" max="10246" width="4.85546875" style="1" customWidth="1"/>
    <col min="10247" max="10247" width="13" style="1" customWidth="1"/>
    <col min="10248" max="10248" width="13.5703125" style="1" customWidth="1"/>
    <col min="10249" max="10254" width="7.140625" style="1" customWidth="1"/>
    <col min="10255" max="10255" width="9.140625" style="1" customWidth="1"/>
    <col min="10256" max="10257" width="9.140625" style="1"/>
    <col min="10258" max="10258" width="6.140625" style="1" customWidth="1"/>
    <col min="10259" max="10259" width="7.140625" style="1" customWidth="1"/>
    <col min="10260" max="10264" width="8.42578125" style="1" customWidth="1"/>
    <col min="10265" max="10496" width="9.140625" style="1"/>
    <col min="10497" max="10497" width="76.42578125" style="1" customWidth="1"/>
    <col min="10498" max="10498" width="8.7109375" style="1" customWidth="1"/>
    <col min="10499" max="10499" width="10.140625" style="1" customWidth="1"/>
    <col min="10500" max="10500" width="9.140625" style="1" customWidth="1"/>
    <col min="10501" max="10501" width="4.7109375" style="1" customWidth="1"/>
    <col min="10502" max="10502" width="4.85546875" style="1" customWidth="1"/>
    <col min="10503" max="10503" width="13" style="1" customWidth="1"/>
    <col min="10504" max="10504" width="13.5703125" style="1" customWidth="1"/>
    <col min="10505" max="10510" width="7.140625" style="1" customWidth="1"/>
    <col min="10511" max="10511" width="9.140625" style="1" customWidth="1"/>
    <col min="10512" max="10513" width="9.140625" style="1"/>
    <col min="10514" max="10514" width="6.140625" style="1" customWidth="1"/>
    <col min="10515" max="10515" width="7.140625" style="1" customWidth="1"/>
    <col min="10516" max="10520" width="8.42578125" style="1" customWidth="1"/>
    <col min="10521" max="10752" width="9.140625" style="1"/>
    <col min="10753" max="10753" width="76.42578125" style="1" customWidth="1"/>
    <col min="10754" max="10754" width="8.7109375" style="1" customWidth="1"/>
    <col min="10755" max="10755" width="10.140625" style="1" customWidth="1"/>
    <col min="10756" max="10756" width="9.140625" style="1" customWidth="1"/>
    <col min="10757" max="10757" width="4.7109375" style="1" customWidth="1"/>
    <col min="10758" max="10758" width="4.85546875" style="1" customWidth="1"/>
    <col min="10759" max="10759" width="13" style="1" customWidth="1"/>
    <col min="10760" max="10760" width="13.5703125" style="1" customWidth="1"/>
    <col min="10761" max="10766" width="7.140625" style="1" customWidth="1"/>
    <col min="10767" max="10767" width="9.140625" style="1" customWidth="1"/>
    <col min="10768" max="10769" width="9.140625" style="1"/>
    <col min="10770" max="10770" width="6.140625" style="1" customWidth="1"/>
    <col min="10771" max="10771" width="7.140625" style="1" customWidth="1"/>
    <col min="10772" max="10776" width="8.42578125" style="1" customWidth="1"/>
    <col min="10777" max="11008" width="9.140625" style="1"/>
    <col min="11009" max="11009" width="76.42578125" style="1" customWidth="1"/>
    <col min="11010" max="11010" width="8.7109375" style="1" customWidth="1"/>
    <col min="11011" max="11011" width="10.140625" style="1" customWidth="1"/>
    <col min="11012" max="11012" width="9.140625" style="1" customWidth="1"/>
    <col min="11013" max="11013" width="4.7109375" style="1" customWidth="1"/>
    <col min="11014" max="11014" width="4.85546875" style="1" customWidth="1"/>
    <col min="11015" max="11015" width="13" style="1" customWidth="1"/>
    <col min="11016" max="11016" width="13.5703125" style="1" customWidth="1"/>
    <col min="11017" max="11022" width="7.140625" style="1" customWidth="1"/>
    <col min="11023" max="11023" width="9.140625" style="1" customWidth="1"/>
    <col min="11024" max="11025" width="9.140625" style="1"/>
    <col min="11026" max="11026" width="6.140625" style="1" customWidth="1"/>
    <col min="11027" max="11027" width="7.140625" style="1" customWidth="1"/>
    <col min="11028" max="11032" width="8.42578125" style="1" customWidth="1"/>
    <col min="11033" max="11264" width="9.140625" style="1"/>
    <col min="11265" max="11265" width="76.42578125" style="1" customWidth="1"/>
    <col min="11266" max="11266" width="8.7109375" style="1" customWidth="1"/>
    <col min="11267" max="11267" width="10.140625" style="1" customWidth="1"/>
    <col min="11268" max="11268" width="9.140625" style="1" customWidth="1"/>
    <col min="11269" max="11269" width="4.7109375" style="1" customWidth="1"/>
    <col min="11270" max="11270" width="4.85546875" style="1" customWidth="1"/>
    <col min="11271" max="11271" width="13" style="1" customWidth="1"/>
    <col min="11272" max="11272" width="13.5703125" style="1" customWidth="1"/>
    <col min="11273" max="11278" width="7.140625" style="1" customWidth="1"/>
    <col min="11279" max="11279" width="9.140625" style="1" customWidth="1"/>
    <col min="11280" max="11281" width="9.140625" style="1"/>
    <col min="11282" max="11282" width="6.140625" style="1" customWidth="1"/>
    <col min="11283" max="11283" width="7.140625" style="1" customWidth="1"/>
    <col min="11284" max="11288" width="8.42578125" style="1" customWidth="1"/>
    <col min="11289" max="11520" width="9.140625" style="1"/>
    <col min="11521" max="11521" width="76.42578125" style="1" customWidth="1"/>
    <col min="11522" max="11522" width="8.7109375" style="1" customWidth="1"/>
    <col min="11523" max="11523" width="10.140625" style="1" customWidth="1"/>
    <col min="11524" max="11524" width="9.140625" style="1" customWidth="1"/>
    <col min="11525" max="11525" width="4.7109375" style="1" customWidth="1"/>
    <col min="11526" max="11526" width="4.85546875" style="1" customWidth="1"/>
    <col min="11527" max="11527" width="13" style="1" customWidth="1"/>
    <col min="11528" max="11528" width="13.5703125" style="1" customWidth="1"/>
    <col min="11529" max="11534" width="7.140625" style="1" customWidth="1"/>
    <col min="11535" max="11535" width="9.140625" style="1" customWidth="1"/>
    <col min="11536" max="11537" width="9.140625" style="1"/>
    <col min="11538" max="11538" width="6.140625" style="1" customWidth="1"/>
    <col min="11539" max="11539" width="7.140625" style="1" customWidth="1"/>
    <col min="11540" max="11544" width="8.42578125" style="1" customWidth="1"/>
    <col min="11545" max="11776" width="9.140625" style="1"/>
    <col min="11777" max="11777" width="76.42578125" style="1" customWidth="1"/>
    <col min="11778" max="11778" width="8.7109375" style="1" customWidth="1"/>
    <col min="11779" max="11779" width="10.140625" style="1" customWidth="1"/>
    <col min="11780" max="11780" width="9.140625" style="1" customWidth="1"/>
    <col min="11781" max="11781" width="4.7109375" style="1" customWidth="1"/>
    <col min="11782" max="11782" width="4.85546875" style="1" customWidth="1"/>
    <col min="11783" max="11783" width="13" style="1" customWidth="1"/>
    <col min="11784" max="11784" width="13.5703125" style="1" customWidth="1"/>
    <col min="11785" max="11790" width="7.140625" style="1" customWidth="1"/>
    <col min="11791" max="11791" width="9.140625" style="1" customWidth="1"/>
    <col min="11792" max="11793" width="9.140625" style="1"/>
    <col min="11794" max="11794" width="6.140625" style="1" customWidth="1"/>
    <col min="11795" max="11795" width="7.140625" style="1" customWidth="1"/>
    <col min="11796" max="11800" width="8.42578125" style="1" customWidth="1"/>
    <col min="11801" max="12032" width="9.140625" style="1"/>
    <col min="12033" max="12033" width="76.42578125" style="1" customWidth="1"/>
    <col min="12034" max="12034" width="8.7109375" style="1" customWidth="1"/>
    <col min="12035" max="12035" width="10.140625" style="1" customWidth="1"/>
    <col min="12036" max="12036" width="9.140625" style="1" customWidth="1"/>
    <col min="12037" max="12037" width="4.7109375" style="1" customWidth="1"/>
    <col min="12038" max="12038" width="4.85546875" style="1" customWidth="1"/>
    <col min="12039" max="12039" width="13" style="1" customWidth="1"/>
    <col min="12040" max="12040" width="13.5703125" style="1" customWidth="1"/>
    <col min="12041" max="12046" width="7.140625" style="1" customWidth="1"/>
    <col min="12047" max="12047" width="9.140625" style="1" customWidth="1"/>
    <col min="12048" max="12049" width="9.140625" style="1"/>
    <col min="12050" max="12050" width="6.140625" style="1" customWidth="1"/>
    <col min="12051" max="12051" width="7.140625" style="1" customWidth="1"/>
    <col min="12052" max="12056" width="8.42578125" style="1" customWidth="1"/>
    <col min="12057" max="12288" width="9.140625" style="1"/>
    <col min="12289" max="12289" width="76.42578125" style="1" customWidth="1"/>
    <col min="12290" max="12290" width="8.7109375" style="1" customWidth="1"/>
    <col min="12291" max="12291" width="10.140625" style="1" customWidth="1"/>
    <col min="12292" max="12292" width="9.140625" style="1" customWidth="1"/>
    <col min="12293" max="12293" width="4.7109375" style="1" customWidth="1"/>
    <col min="12294" max="12294" width="4.85546875" style="1" customWidth="1"/>
    <col min="12295" max="12295" width="13" style="1" customWidth="1"/>
    <col min="12296" max="12296" width="13.5703125" style="1" customWidth="1"/>
    <col min="12297" max="12302" width="7.140625" style="1" customWidth="1"/>
    <col min="12303" max="12303" width="9.140625" style="1" customWidth="1"/>
    <col min="12304" max="12305" width="9.140625" style="1"/>
    <col min="12306" max="12306" width="6.140625" style="1" customWidth="1"/>
    <col min="12307" max="12307" width="7.140625" style="1" customWidth="1"/>
    <col min="12308" max="12312" width="8.42578125" style="1" customWidth="1"/>
    <col min="12313" max="12544" width="9.140625" style="1"/>
    <col min="12545" max="12545" width="76.42578125" style="1" customWidth="1"/>
    <col min="12546" max="12546" width="8.7109375" style="1" customWidth="1"/>
    <col min="12547" max="12547" width="10.140625" style="1" customWidth="1"/>
    <col min="12548" max="12548" width="9.140625" style="1" customWidth="1"/>
    <col min="12549" max="12549" width="4.7109375" style="1" customWidth="1"/>
    <col min="12550" max="12550" width="4.85546875" style="1" customWidth="1"/>
    <col min="12551" max="12551" width="13" style="1" customWidth="1"/>
    <col min="12552" max="12552" width="13.5703125" style="1" customWidth="1"/>
    <col min="12553" max="12558" width="7.140625" style="1" customWidth="1"/>
    <col min="12559" max="12559" width="9.140625" style="1" customWidth="1"/>
    <col min="12560" max="12561" width="9.140625" style="1"/>
    <col min="12562" max="12562" width="6.140625" style="1" customWidth="1"/>
    <col min="12563" max="12563" width="7.140625" style="1" customWidth="1"/>
    <col min="12564" max="12568" width="8.42578125" style="1" customWidth="1"/>
    <col min="12569" max="12800" width="9.140625" style="1"/>
    <col min="12801" max="12801" width="76.42578125" style="1" customWidth="1"/>
    <col min="12802" max="12802" width="8.7109375" style="1" customWidth="1"/>
    <col min="12803" max="12803" width="10.140625" style="1" customWidth="1"/>
    <col min="12804" max="12804" width="9.140625" style="1" customWidth="1"/>
    <col min="12805" max="12805" width="4.7109375" style="1" customWidth="1"/>
    <col min="12806" max="12806" width="4.85546875" style="1" customWidth="1"/>
    <col min="12807" max="12807" width="13" style="1" customWidth="1"/>
    <col min="12808" max="12808" width="13.5703125" style="1" customWidth="1"/>
    <col min="12809" max="12814" width="7.140625" style="1" customWidth="1"/>
    <col min="12815" max="12815" width="9.140625" style="1" customWidth="1"/>
    <col min="12816" max="12817" width="9.140625" style="1"/>
    <col min="12818" max="12818" width="6.140625" style="1" customWidth="1"/>
    <col min="12819" max="12819" width="7.140625" style="1" customWidth="1"/>
    <col min="12820" max="12824" width="8.42578125" style="1" customWidth="1"/>
    <col min="12825" max="13056" width="9.140625" style="1"/>
    <col min="13057" max="13057" width="76.42578125" style="1" customWidth="1"/>
    <col min="13058" max="13058" width="8.7109375" style="1" customWidth="1"/>
    <col min="13059" max="13059" width="10.140625" style="1" customWidth="1"/>
    <col min="13060" max="13060" width="9.140625" style="1" customWidth="1"/>
    <col min="13061" max="13061" width="4.7109375" style="1" customWidth="1"/>
    <col min="13062" max="13062" width="4.85546875" style="1" customWidth="1"/>
    <col min="13063" max="13063" width="13" style="1" customWidth="1"/>
    <col min="13064" max="13064" width="13.5703125" style="1" customWidth="1"/>
    <col min="13065" max="13070" width="7.140625" style="1" customWidth="1"/>
    <col min="13071" max="13071" width="9.140625" style="1" customWidth="1"/>
    <col min="13072" max="13073" width="9.140625" style="1"/>
    <col min="13074" max="13074" width="6.140625" style="1" customWidth="1"/>
    <col min="13075" max="13075" width="7.140625" style="1" customWidth="1"/>
    <col min="13076" max="13080" width="8.42578125" style="1" customWidth="1"/>
    <col min="13081" max="13312" width="9.140625" style="1"/>
    <col min="13313" max="13313" width="76.42578125" style="1" customWidth="1"/>
    <col min="13314" max="13314" width="8.7109375" style="1" customWidth="1"/>
    <col min="13315" max="13315" width="10.140625" style="1" customWidth="1"/>
    <col min="13316" max="13316" width="9.140625" style="1" customWidth="1"/>
    <col min="13317" max="13317" width="4.7109375" style="1" customWidth="1"/>
    <col min="13318" max="13318" width="4.85546875" style="1" customWidth="1"/>
    <col min="13319" max="13319" width="13" style="1" customWidth="1"/>
    <col min="13320" max="13320" width="13.5703125" style="1" customWidth="1"/>
    <col min="13321" max="13326" width="7.140625" style="1" customWidth="1"/>
    <col min="13327" max="13327" width="9.140625" style="1" customWidth="1"/>
    <col min="13328" max="13329" width="9.140625" style="1"/>
    <col min="13330" max="13330" width="6.140625" style="1" customWidth="1"/>
    <col min="13331" max="13331" width="7.140625" style="1" customWidth="1"/>
    <col min="13332" max="13336" width="8.42578125" style="1" customWidth="1"/>
    <col min="13337" max="13568" width="9.140625" style="1"/>
    <col min="13569" max="13569" width="76.42578125" style="1" customWidth="1"/>
    <col min="13570" max="13570" width="8.7109375" style="1" customWidth="1"/>
    <col min="13571" max="13571" width="10.140625" style="1" customWidth="1"/>
    <col min="13572" max="13572" width="9.140625" style="1" customWidth="1"/>
    <col min="13573" max="13573" width="4.7109375" style="1" customWidth="1"/>
    <col min="13574" max="13574" width="4.85546875" style="1" customWidth="1"/>
    <col min="13575" max="13575" width="13" style="1" customWidth="1"/>
    <col min="13576" max="13576" width="13.5703125" style="1" customWidth="1"/>
    <col min="13577" max="13582" width="7.140625" style="1" customWidth="1"/>
    <col min="13583" max="13583" width="9.140625" style="1" customWidth="1"/>
    <col min="13584" max="13585" width="9.140625" style="1"/>
    <col min="13586" max="13586" width="6.140625" style="1" customWidth="1"/>
    <col min="13587" max="13587" width="7.140625" style="1" customWidth="1"/>
    <col min="13588" max="13592" width="8.42578125" style="1" customWidth="1"/>
    <col min="13593" max="13824" width="9.140625" style="1"/>
    <col min="13825" max="13825" width="76.42578125" style="1" customWidth="1"/>
    <col min="13826" max="13826" width="8.7109375" style="1" customWidth="1"/>
    <col min="13827" max="13827" width="10.140625" style="1" customWidth="1"/>
    <col min="13828" max="13828" width="9.140625" style="1" customWidth="1"/>
    <col min="13829" max="13829" width="4.7109375" style="1" customWidth="1"/>
    <col min="13830" max="13830" width="4.85546875" style="1" customWidth="1"/>
    <col min="13831" max="13831" width="13" style="1" customWidth="1"/>
    <col min="13832" max="13832" width="13.5703125" style="1" customWidth="1"/>
    <col min="13833" max="13838" width="7.140625" style="1" customWidth="1"/>
    <col min="13839" max="13839" width="9.140625" style="1" customWidth="1"/>
    <col min="13840" max="13841" width="9.140625" style="1"/>
    <col min="13842" max="13842" width="6.140625" style="1" customWidth="1"/>
    <col min="13843" max="13843" width="7.140625" style="1" customWidth="1"/>
    <col min="13844" max="13848" width="8.42578125" style="1" customWidth="1"/>
    <col min="13849" max="14080" width="9.140625" style="1"/>
    <col min="14081" max="14081" width="76.42578125" style="1" customWidth="1"/>
    <col min="14082" max="14082" width="8.7109375" style="1" customWidth="1"/>
    <col min="14083" max="14083" width="10.140625" style="1" customWidth="1"/>
    <col min="14084" max="14084" width="9.140625" style="1" customWidth="1"/>
    <col min="14085" max="14085" width="4.7109375" style="1" customWidth="1"/>
    <col min="14086" max="14086" width="4.85546875" style="1" customWidth="1"/>
    <col min="14087" max="14087" width="13" style="1" customWidth="1"/>
    <col min="14088" max="14088" width="13.5703125" style="1" customWidth="1"/>
    <col min="14089" max="14094" width="7.140625" style="1" customWidth="1"/>
    <col min="14095" max="14095" width="9.140625" style="1" customWidth="1"/>
    <col min="14096" max="14097" width="9.140625" style="1"/>
    <col min="14098" max="14098" width="6.140625" style="1" customWidth="1"/>
    <col min="14099" max="14099" width="7.140625" style="1" customWidth="1"/>
    <col min="14100" max="14104" width="8.42578125" style="1" customWidth="1"/>
    <col min="14105" max="14336" width="9.140625" style="1"/>
    <col min="14337" max="14337" width="76.42578125" style="1" customWidth="1"/>
    <col min="14338" max="14338" width="8.7109375" style="1" customWidth="1"/>
    <col min="14339" max="14339" width="10.140625" style="1" customWidth="1"/>
    <col min="14340" max="14340" width="9.140625" style="1" customWidth="1"/>
    <col min="14341" max="14341" width="4.7109375" style="1" customWidth="1"/>
    <col min="14342" max="14342" width="4.85546875" style="1" customWidth="1"/>
    <col min="14343" max="14343" width="13" style="1" customWidth="1"/>
    <col min="14344" max="14344" width="13.5703125" style="1" customWidth="1"/>
    <col min="14345" max="14350" width="7.140625" style="1" customWidth="1"/>
    <col min="14351" max="14351" width="9.140625" style="1" customWidth="1"/>
    <col min="14352" max="14353" width="9.140625" style="1"/>
    <col min="14354" max="14354" width="6.140625" style="1" customWidth="1"/>
    <col min="14355" max="14355" width="7.140625" style="1" customWidth="1"/>
    <col min="14356" max="14360" width="8.42578125" style="1" customWidth="1"/>
    <col min="14361" max="14592" width="9.140625" style="1"/>
    <col min="14593" max="14593" width="76.42578125" style="1" customWidth="1"/>
    <col min="14594" max="14594" width="8.7109375" style="1" customWidth="1"/>
    <col min="14595" max="14595" width="10.140625" style="1" customWidth="1"/>
    <col min="14596" max="14596" width="9.140625" style="1" customWidth="1"/>
    <col min="14597" max="14597" width="4.7109375" style="1" customWidth="1"/>
    <col min="14598" max="14598" width="4.85546875" style="1" customWidth="1"/>
    <col min="14599" max="14599" width="13" style="1" customWidth="1"/>
    <col min="14600" max="14600" width="13.5703125" style="1" customWidth="1"/>
    <col min="14601" max="14606" width="7.140625" style="1" customWidth="1"/>
    <col min="14607" max="14607" width="9.140625" style="1" customWidth="1"/>
    <col min="14608" max="14609" width="9.140625" style="1"/>
    <col min="14610" max="14610" width="6.140625" style="1" customWidth="1"/>
    <col min="14611" max="14611" width="7.140625" style="1" customWidth="1"/>
    <col min="14612" max="14616" width="8.42578125" style="1" customWidth="1"/>
    <col min="14617" max="14848" width="9.140625" style="1"/>
    <col min="14849" max="14849" width="76.42578125" style="1" customWidth="1"/>
    <col min="14850" max="14850" width="8.7109375" style="1" customWidth="1"/>
    <col min="14851" max="14851" width="10.140625" style="1" customWidth="1"/>
    <col min="14852" max="14852" width="9.140625" style="1" customWidth="1"/>
    <col min="14853" max="14853" width="4.7109375" style="1" customWidth="1"/>
    <col min="14854" max="14854" width="4.85546875" style="1" customWidth="1"/>
    <col min="14855" max="14855" width="13" style="1" customWidth="1"/>
    <col min="14856" max="14856" width="13.5703125" style="1" customWidth="1"/>
    <col min="14857" max="14862" width="7.140625" style="1" customWidth="1"/>
    <col min="14863" max="14863" width="9.140625" style="1" customWidth="1"/>
    <col min="14864" max="14865" width="9.140625" style="1"/>
    <col min="14866" max="14866" width="6.140625" style="1" customWidth="1"/>
    <col min="14867" max="14867" width="7.140625" style="1" customWidth="1"/>
    <col min="14868" max="14872" width="8.42578125" style="1" customWidth="1"/>
    <col min="14873" max="15104" width="9.140625" style="1"/>
    <col min="15105" max="15105" width="76.42578125" style="1" customWidth="1"/>
    <col min="15106" max="15106" width="8.7109375" style="1" customWidth="1"/>
    <col min="15107" max="15107" width="10.140625" style="1" customWidth="1"/>
    <col min="15108" max="15108" width="9.140625" style="1" customWidth="1"/>
    <col min="15109" max="15109" width="4.7109375" style="1" customWidth="1"/>
    <col min="15110" max="15110" width="4.85546875" style="1" customWidth="1"/>
    <col min="15111" max="15111" width="13" style="1" customWidth="1"/>
    <col min="15112" max="15112" width="13.5703125" style="1" customWidth="1"/>
    <col min="15113" max="15118" width="7.140625" style="1" customWidth="1"/>
    <col min="15119" max="15119" width="9.140625" style="1" customWidth="1"/>
    <col min="15120" max="15121" width="9.140625" style="1"/>
    <col min="15122" max="15122" width="6.140625" style="1" customWidth="1"/>
    <col min="15123" max="15123" width="7.140625" style="1" customWidth="1"/>
    <col min="15124" max="15128" width="8.42578125" style="1" customWidth="1"/>
    <col min="15129" max="15360" width="9.140625" style="1"/>
    <col min="15361" max="15361" width="76.42578125" style="1" customWidth="1"/>
    <col min="15362" max="15362" width="8.7109375" style="1" customWidth="1"/>
    <col min="15363" max="15363" width="10.140625" style="1" customWidth="1"/>
    <col min="15364" max="15364" width="9.140625" style="1" customWidth="1"/>
    <col min="15365" max="15365" width="4.7109375" style="1" customWidth="1"/>
    <col min="15366" max="15366" width="4.85546875" style="1" customWidth="1"/>
    <col min="15367" max="15367" width="13" style="1" customWidth="1"/>
    <col min="15368" max="15368" width="13.5703125" style="1" customWidth="1"/>
    <col min="15369" max="15374" width="7.140625" style="1" customWidth="1"/>
    <col min="15375" max="15375" width="9.140625" style="1" customWidth="1"/>
    <col min="15376" max="15377" width="9.140625" style="1"/>
    <col min="15378" max="15378" width="6.140625" style="1" customWidth="1"/>
    <col min="15379" max="15379" width="7.140625" style="1" customWidth="1"/>
    <col min="15380" max="15384" width="8.42578125" style="1" customWidth="1"/>
    <col min="15385" max="15616" width="9.140625" style="1"/>
    <col min="15617" max="15617" width="76.42578125" style="1" customWidth="1"/>
    <col min="15618" max="15618" width="8.7109375" style="1" customWidth="1"/>
    <col min="15619" max="15619" width="10.140625" style="1" customWidth="1"/>
    <col min="15620" max="15620" width="9.140625" style="1" customWidth="1"/>
    <col min="15621" max="15621" width="4.7109375" style="1" customWidth="1"/>
    <col min="15622" max="15622" width="4.85546875" style="1" customWidth="1"/>
    <col min="15623" max="15623" width="13" style="1" customWidth="1"/>
    <col min="15624" max="15624" width="13.5703125" style="1" customWidth="1"/>
    <col min="15625" max="15630" width="7.140625" style="1" customWidth="1"/>
    <col min="15631" max="15631" width="9.140625" style="1" customWidth="1"/>
    <col min="15632" max="15633" width="9.140625" style="1"/>
    <col min="15634" max="15634" width="6.140625" style="1" customWidth="1"/>
    <col min="15635" max="15635" width="7.140625" style="1" customWidth="1"/>
    <col min="15636" max="15640" width="8.42578125" style="1" customWidth="1"/>
    <col min="15641" max="15872" width="9.140625" style="1"/>
    <col min="15873" max="15873" width="76.42578125" style="1" customWidth="1"/>
    <col min="15874" max="15874" width="8.7109375" style="1" customWidth="1"/>
    <col min="15875" max="15875" width="10.140625" style="1" customWidth="1"/>
    <col min="15876" max="15876" width="9.140625" style="1" customWidth="1"/>
    <col min="15877" max="15877" width="4.7109375" style="1" customWidth="1"/>
    <col min="15878" max="15878" width="4.85546875" style="1" customWidth="1"/>
    <col min="15879" max="15879" width="13" style="1" customWidth="1"/>
    <col min="15880" max="15880" width="13.5703125" style="1" customWidth="1"/>
    <col min="15881" max="15886" width="7.140625" style="1" customWidth="1"/>
    <col min="15887" max="15887" width="9.140625" style="1" customWidth="1"/>
    <col min="15888" max="15889" width="9.140625" style="1"/>
    <col min="15890" max="15890" width="6.140625" style="1" customWidth="1"/>
    <col min="15891" max="15891" width="7.140625" style="1" customWidth="1"/>
    <col min="15892" max="15896" width="8.42578125" style="1" customWidth="1"/>
    <col min="15897" max="16128" width="9.140625" style="1"/>
    <col min="16129" max="16129" width="76.42578125" style="1" customWidth="1"/>
    <col min="16130" max="16130" width="8.7109375" style="1" customWidth="1"/>
    <col min="16131" max="16131" width="10.140625" style="1" customWidth="1"/>
    <col min="16132" max="16132" width="9.140625" style="1" customWidth="1"/>
    <col min="16133" max="16133" width="4.7109375" style="1" customWidth="1"/>
    <col min="16134" max="16134" width="4.85546875" style="1" customWidth="1"/>
    <col min="16135" max="16135" width="13" style="1" customWidth="1"/>
    <col min="16136" max="16136" width="13.5703125" style="1" customWidth="1"/>
    <col min="16137" max="16142" width="7.140625" style="1" customWidth="1"/>
    <col min="16143" max="16143" width="9.140625" style="1" customWidth="1"/>
    <col min="16144" max="16145" width="9.140625" style="1"/>
    <col min="16146" max="16146" width="6.140625" style="1" customWidth="1"/>
    <col min="16147" max="16147" width="7.140625" style="1" customWidth="1"/>
    <col min="16148" max="16152" width="8.42578125" style="1" customWidth="1"/>
    <col min="16153" max="16384" width="9.140625" style="1"/>
  </cols>
  <sheetData>
    <row r="1" spans="1:26" ht="13.5" customHeight="1" thickBot="1" x14ac:dyDescent="0.25">
      <c r="A1" s="137" t="s">
        <v>132</v>
      </c>
      <c r="B1" s="138" t="s">
        <v>133</v>
      </c>
      <c r="C1" s="139">
        <v>250000</v>
      </c>
      <c r="D1" s="140" t="s">
        <v>134</v>
      </c>
      <c r="E1" s="3"/>
      <c r="F1" s="141"/>
      <c r="G1" s="3"/>
      <c r="H1" s="3"/>
      <c r="I1" s="4" t="s">
        <v>156</v>
      </c>
      <c r="J1" s="4" t="s">
        <v>157</v>
      </c>
      <c r="K1" s="4" t="s">
        <v>158</v>
      </c>
      <c r="L1" s="4" t="s">
        <v>159</v>
      </c>
      <c r="M1" s="4" t="s">
        <v>160</v>
      </c>
      <c r="N1" s="4" t="s">
        <v>161</v>
      </c>
      <c r="O1" s="3"/>
      <c r="P1" s="3"/>
      <c r="Q1" s="3"/>
      <c r="R1" s="3" t="s">
        <v>162</v>
      </c>
      <c r="S1" s="4" t="s">
        <v>157</v>
      </c>
      <c r="T1" s="4" t="s">
        <v>158</v>
      </c>
      <c r="U1" s="4" t="s">
        <v>159</v>
      </c>
      <c r="V1" s="4" t="s">
        <v>160</v>
      </c>
      <c r="W1" s="4" t="s">
        <v>198</v>
      </c>
      <c r="X1" s="4" t="s">
        <v>163</v>
      </c>
    </row>
    <row r="2" spans="1:26" ht="13.5" customHeight="1" x14ac:dyDescent="0.25">
      <c r="A2" s="142" t="s">
        <v>135</v>
      </c>
      <c r="B2" s="143" t="s">
        <v>136</v>
      </c>
      <c r="C2" s="144">
        <v>0.65</v>
      </c>
      <c r="D2" s="145"/>
      <c r="E2" s="3"/>
      <c r="F2" s="141"/>
      <c r="G2" s="3" t="s">
        <v>164</v>
      </c>
      <c r="H2" s="5" t="s">
        <v>165</v>
      </c>
      <c r="I2" s="6">
        <f>Bilance!$N$29</f>
        <v>28</v>
      </c>
      <c r="J2" s="7">
        <f>Bilance!$N$28</f>
        <v>28</v>
      </c>
      <c r="K2" s="8">
        <f>+EXP(23.58-(4044.2/(235.6+J2)))</f>
        <v>3781.2687143507601</v>
      </c>
      <c r="L2" s="8">
        <f>+EXP(23.58-(4044.2/(235.6+I2)))</f>
        <v>3781.2687143507601</v>
      </c>
      <c r="M2" s="8">
        <f>+L2*$C$2</f>
        <v>2457.824664327994</v>
      </c>
      <c r="N2" s="9">
        <f>I30/1000*Bilance!$N$27*($C$5*Bilance!$N$26*(K2-M2)*$C$1/3600+$C$7*Bilance!$N$26*(J2-I2))</f>
        <v>123.93502093442362</v>
      </c>
      <c r="O2" s="3"/>
      <c r="P2" s="3" t="s">
        <v>166</v>
      </c>
      <c r="Q2" s="5" t="s">
        <v>165</v>
      </c>
      <c r="R2" s="146">
        <v>1.8</v>
      </c>
      <c r="S2" s="7">
        <f>Bilance!$N$28</f>
        <v>28</v>
      </c>
      <c r="T2" s="8">
        <f>+EXP(23.58-(4044.2/(235.6+S2)))</f>
        <v>3781.2687143507601</v>
      </c>
      <c r="U2" s="8">
        <f>+EXP(23.58-(4044.2/(235.6+R2)))</f>
        <v>695.49003310028525</v>
      </c>
      <c r="V2" s="8">
        <f>+U2*$C$4</f>
        <v>347.74501655014262</v>
      </c>
      <c r="W2" s="10">
        <v>20.8</v>
      </c>
      <c r="X2" s="9">
        <f>+I30/1000*Bilance!$N$27*($C$5*Bilance!$N$26*(T2-V2)*$C$1/3600+$C$8*Bilance!$N$26*(S2-R2))-0.7*W2*Bilance!$N$26</f>
        <v>1966.9851879502871</v>
      </c>
      <c r="Y2" s="11"/>
      <c r="Z2"/>
    </row>
    <row r="3" spans="1:26" ht="13.5" customHeight="1" x14ac:dyDescent="0.25">
      <c r="A3" s="142" t="s">
        <v>137</v>
      </c>
      <c r="B3" s="143" t="s">
        <v>138</v>
      </c>
      <c r="C3" s="144">
        <v>0.65</v>
      </c>
      <c r="D3" s="145"/>
      <c r="E3" s="3"/>
      <c r="F3" s="141"/>
      <c r="G3" s="12" t="s">
        <v>167</v>
      </c>
      <c r="H3" s="13" t="s">
        <v>168</v>
      </c>
      <c r="I3" s="14">
        <f>Bilance!$N$29</f>
        <v>28</v>
      </c>
      <c r="J3" s="15">
        <f>Bilance!$N$28</f>
        <v>28</v>
      </c>
      <c r="K3" s="16">
        <f t="shared" ref="K3:K13" si="0">+EXP(23.58-(4044.2/(235.6+J3)))</f>
        <v>3781.2687143507601</v>
      </c>
      <c r="L3" s="16">
        <f t="shared" ref="L3:L13" si="1">+EXP(23.58-(4044.2/(235.6+I3)))</f>
        <v>3781.2687143507601</v>
      </c>
      <c r="M3" s="16">
        <f t="shared" ref="M3:M13" si="2">+L3*$C$2</f>
        <v>2457.824664327994</v>
      </c>
      <c r="N3" s="17">
        <f>I31/1000*Bilance!$N$27*($C$5*Bilance!$N$26*(K3-M3)*$C$1/3600+$C$7*Bilance!$N$26*(J3-I3))</f>
        <v>111.9413092310923</v>
      </c>
      <c r="O3" s="3"/>
      <c r="P3" s="18" t="s">
        <v>169</v>
      </c>
      <c r="Q3" s="13" t="s">
        <v>168</v>
      </c>
      <c r="R3" s="37">
        <v>2.7</v>
      </c>
      <c r="S3" s="15">
        <f>Bilance!$N$28</f>
        <v>28</v>
      </c>
      <c r="T3" s="16">
        <f t="shared" ref="T3:T13" si="3">+EXP(23.58-(4044.2/(235.6+S3)))</f>
        <v>3781.2687143507601</v>
      </c>
      <c r="U3" s="16">
        <f t="shared" ref="U3:U26" si="4">+EXP(23.58-(4044.2/(235.6+R3)))</f>
        <v>741.70760236952435</v>
      </c>
      <c r="V3" s="16">
        <f t="shared" ref="V3:V13" si="5">+U3*$C$4</f>
        <v>370.85380118476218</v>
      </c>
      <c r="W3" s="19">
        <v>37</v>
      </c>
      <c r="X3" s="17">
        <f>+I31/1000*Bilance!$N$27*($C$5*Bilance!$N$26*(T3-V3)*$C$1/3600+$C$8*Bilance!$N$26*(S3-R3))-0.7*W3*Bilance!$N$26</f>
        <v>1558.6142614052908</v>
      </c>
      <c r="Y3" s="11"/>
      <c r="Z3"/>
    </row>
    <row r="4" spans="1:26" ht="13.5" customHeight="1" x14ac:dyDescent="0.25">
      <c r="A4" s="3" t="s">
        <v>196</v>
      </c>
      <c r="B4" s="143" t="s">
        <v>197</v>
      </c>
      <c r="C4" s="3">
        <v>0.5</v>
      </c>
      <c r="D4" s="3"/>
      <c r="E4" s="3"/>
      <c r="F4" s="141"/>
      <c r="G4" s="12"/>
      <c r="H4" s="13" t="s">
        <v>170</v>
      </c>
      <c r="I4" s="14">
        <f>Bilance!$N$29</f>
        <v>28</v>
      </c>
      <c r="J4" s="15">
        <f>Bilance!$N$28</f>
        <v>28</v>
      </c>
      <c r="K4" s="16">
        <f t="shared" si="0"/>
        <v>3781.2687143507601</v>
      </c>
      <c r="L4" s="16">
        <f t="shared" si="1"/>
        <v>3781.2687143507601</v>
      </c>
      <c r="M4" s="16">
        <f t="shared" si="2"/>
        <v>2457.824664327994</v>
      </c>
      <c r="N4" s="17">
        <f>I32/1000*Bilance!$N$27*($C$5*Bilance!$N$26*(K4-M4)*$C$1/3600+$C$7*Bilance!$N$26*(J4-I4))</f>
        <v>123.93502093442362</v>
      </c>
      <c r="O4" s="3"/>
      <c r="P4" s="18"/>
      <c r="Q4" s="13" t="s">
        <v>170</v>
      </c>
      <c r="R4" s="37">
        <v>6.3</v>
      </c>
      <c r="S4" s="15">
        <f>Bilance!$N$28</f>
        <v>28</v>
      </c>
      <c r="T4" s="16">
        <f t="shared" si="3"/>
        <v>3781.2687143507601</v>
      </c>
      <c r="U4" s="16">
        <f t="shared" si="4"/>
        <v>954.81851883541685</v>
      </c>
      <c r="V4" s="16">
        <f t="shared" si="5"/>
        <v>477.40925941770843</v>
      </c>
      <c r="W4" s="19">
        <v>72.2</v>
      </c>
      <c r="X4" s="17">
        <f>+I32/1000*Bilance!$N$27*($C$5*Bilance!$N$26*(T4-V4)*$C$1/3600+$C$8*Bilance!$N$26*(S4-R4))-0.7*W4*Bilance!$N$26</f>
        <v>1191.2176718734181</v>
      </c>
      <c r="Y4" s="11"/>
      <c r="Z4"/>
    </row>
    <row r="5" spans="1:26" ht="13.5" customHeight="1" x14ac:dyDescent="0.25">
      <c r="A5" s="142" t="s">
        <v>139</v>
      </c>
      <c r="B5" s="143" t="s">
        <v>140</v>
      </c>
      <c r="C5" s="147">
        <f>+CHOOSE(Bilance!AG31,0.00016,0.00016,0.00029,0.00029)</f>
        <v>2.9E-4</v>
      </c>
      <c r="D5" s="145" t="s">
        <v>141</v>
      </c>
      <c r="E5" s="3"/>
      <c r="F5" s="141"/>
      <c r="G5" s="12"/>
      <c r="H5" s="13" t="s">
        <v>171</v>
      </c>
      <c r="I5" s="14">
        <f>Bilance!$N$29</f>
        <v>28</v>
      </c>
      <c r="J5" s="15">
        <f>Bilance!$N$28</f>
        <v>28</v>
      </c>
      <c r="K5" s="16">
        <f t="shared" si="0"/>
        <v>3781.2687143507601</v>
      </c>
      <c r="L5" s="16">
        <f t="shared" si="1"/>
        <v>3781.2687143507601</v>
      </c>
      <c r="M5" s="16">
        <f t="shared" si="2"/>
        <v>2457.824664327994</v>
      </c>
      <c r="N5" s="17">
        <f>I33/1000*Bilance!$N$27*($C$5*Bilance!$N$26*(K5-M5)*$C$1/3600+$C$7*Bilance!$N$26*(J5-I5))</f>
        <v>119.93711703331317</v>
      </c>
      <c r="O5" s="3"/>
      <c r="P5" s="18"/>
      <c r="Q5" s="13" t="s">
        <v>171</v>
      </c>
      <c r="R5" s="37">
        <v>10.7</v>
      </c>
      <c r="S5" s="15">
        <f>Bilance!$N$28</f>
        <v>28</v>
      </c>
      <c r="T5" s="16">
        <f t="shared" si="3"/>
        <v>3781.2687143507601</v>
      </c>
      <c r="U5" s="16">
        <f t="shared" si="4"/>
        <v>1287.1513041250389</v>
      </c>
      <c r="V5" s="16">
        <f t="shared" si="5"/>
        <v>643.57565206251945</v>
      </c>
      <c r="W5" s="19">
        <v>113.8</v>
      </c>
      <c r="X5" s="17">
        <f>+I33/1000*Bilance!$N$27*($C$5*Bilance!$N$26*(T5-V5)*$C$1/3600+$C$8*Bilance!$N$26*(S5-R5))-0.7*W5*Bilance!$N$26</f>
        <v>456.3534337698718</v>
      </c>
      <c r="Y5" s="11"/>
      <c r="Z5"/>
    </row>
    <row r="6" spans="1:26" ht="13.5" customHeight="1" x14ac:dyDescent="0.25">
      <c r="A6" s="142" t="s">
        <v>142</v>
      </c>
      <c r="B6" s="143" t="s">
        <v>143</v>
      </c>
      <c r="C6" s="147">
        <f>+CHOOSE(Bilance!AG31,0,C5,0,C5)</f>
        <v>0</v>
      </c>
      <c r="D6" s="145" t="s">
        <v>141</v>
      </c>
      <c r="E6" s="3"/>
      <c r="F6" s="141"/>
      <c r="G6" s="20"/>
      <c r="H6" s="13" t="s">
        <v>172</v>
      </c>
      <c r="I6" s="14">
        <f>Bilance!$N$29</f>
        <v>28</v>
      </c>
      <c r="J6" s="15">
        <f>Bilance!$N$28</f>
        <v>28</v>
      </c>
      <c r="K6" s="16">
        <f t="shared" si="0"/>
        <v>3781.2687143507601</v>
      </c>
      <c r="L6" s="16">
        <f t="shared" si="1"/>
        <v>3781.2687143507601</v>
      </c>
      <c r="M6" s="16">
        <f t="shared" si="2"/>
        <v>2457.824664327994</v>
      </c>
      <c r="N6" s="17">
        <f>I34/1000*Bilance!$N$27*($C$5*Bilance!$N$26*(K6-M6)*$C$1/3600+$C$7*Bilance!$N$26*(J6-I6))</f>
        <v>123.93502093442362</v>
      </c>
      <c r="O6" s="3"/>
      <c r="P6" s="18"/>
      <c r="Q6" s="13" t="s">
        <v>172</v>
      </c>
      <c r="R6" s="37">
        <v>16</v>
      </c>
      <c r="S6" s="15">
        <f>Bilance!$N$28</f>
        <v>28</v>
      </c>
      <c r="T6" s="16">
        <f t="shared" si="3"/>
        <v>3781.2687143507601</v>
      </c>
      <c r="U6" s="16">
        <f t="shared" si="4"/>
        <v>1819.0563051739721</v>
      </c>
      <c r="V6" s="16">
        <f t="shared" si="5"/>
        <v>909.52815258698604</v>
      </c>
      <c r="W6" s="19">
        <v>148.80000000000001</v>
      </c>
      <c r="X6" s="17">
        <f>+I34/1000*Bilance!$N$27*($C$5*Bilance!$N$26*(T6-V6)*$C$1/3600+$C$8*Bilance!$N$26*(S6-R6))-0.7*W6*Bilance!$N$26</f>
        <v>-196.07346197649667</v>
      </c>
      <c r="Y6" s="11"/>
      <c r="Z6"/>
    </row>
    <row r="7" spans="1:26" ht="13.5" customHeight="1" x14ac:dyDescent="0.25">
      <c r="A7" s="148" t="s">
        <v>144</v>
      </c>
      <c r="B7" s="143" t="s">
        <v>145</v>
      </c>
      <c r="C7" s="149">
        <v>10</v>
      </c>
      <c r="D7" s="145" t="s">
        <v>146</v>
      </c>
      <c r="E7" s="3"/>
      <c r="F7" s="141"/>
      <c r="G7" s="20"/>
      <c r="H7" s="13" t="s">
        <v>173</v>
      </c>
      <c r="I7" s="14">
        <f>Bilance!$N$29</f>
        <v>28</v>
      </c>
      <c r="J7" s="15">
        <f>Bilance!$N$28</f>
        <v>28</v>
      </c>
      <c r="K7" s="16">
        <f t="shared" si="0"/>
        <v>3781.2687143507601</v>
      </c>
      <c r="L7" s="16">
        <f t="shared" si="1"/>
        <v>3781.2687143507601</v>
      </c>
      <c r="M7" s="16">
        <f t="shared" si="2"/>
        <v>2457.824664327994</v>
      </c>
      <c r="N7" s="17">
        <f>I35/1000*Bilance!$N$27*($C$5*Bilance!$N$26*(K7-M7)*$C$1/3600+$C$7*Bilance!$N$26*(J7-I7))</f>
        <v>119.93711703331317</v>
      </c>
      <c r="O7" s="3"/>
      <c r="P7" s="18"/>
      <c r="Q7" s="13" t="s">
        <v>173</v>
      </c>
      <c r="R7" s="37">
        <v>18.600000000000001</v>
      </c>
      <c r="S7" s="15">
        <f>Bilance!$N$28</f>
        <v>28</v>
      </c>
      <c r="T7" s="16">
        <f t="shared" si="3"/>
        <v>3781.2687143507601</v>
      </c>
      <c r="U7" s="16">
        <f t="shared" si="4"/>
        <v>2144.1102363081591</v>
      </c>
      <c r="V7" s="16">
        <f t="shared" si="5"/>
        <v>1072.0551181540795</v>
      </c>
      <c r="W7" s="19">
        <v>146.19999999999999</v>
      </c>
      <c r="X7" s="17">
        <f>+I35/1000*Bilance!$N$27*($C$5*Bilance!$N$26*(T7-V7)*$C$1/3600+$C$8*Bilance!$N$26*(S7-R7))-0.7*W7*Bilance!$N$26</f>
        <v>-399.22751784467573</v>
      </c>
      <c r="Y7" s="11"/>
      <c r="Z7"/>
    </row>
    <row r="8" spans="1:26" ht="13.5" customHeight="1" x14ac:dyDescent="0.25">
      <c r="A8" s="148" t="s">
        <v>144</v>
      </c>
      <c r="B8" s="143" t="s">
        <v>147</v>
      </c>
      <c r="C8" s="149">
        <v>15</v>
      </c>
      <c r="D8" s="145" t="s">
        <v>146</v>
      </c>
      <c r="E8" s="3"/>
      <c r="F8" s="141"/>
      <c r="G8" s="20"/>
      <c r="H8" s="13" t="s">
        <v>174</v>
      </c>
      <c r="I8" s="14">
        <f>Bilance!$N$29</f>
        <v>28</v>
      </c>
      <c r="J8" s="15">
        <f>Bilance!$N$28</f>
        <v>28</v>
      </c>
      <c r="K8" s="16">
        <f t="shared" si="0"/>
        <v>3781.2687143507601</v>
      </c>
      <c r="L8" s="16">
        <f t="shared" si="1"/>
        <v>3781.2687143507601</v>
      </c>
      <c r="M8" s="16">
        <f t="shared" si="2"/>
        <v>2457.824664327994</v>
      </c>
      <c r="N8" s="17">
        <f>I36/1000*Bilance!$N$27*($C$5*Bilance!$N$26*(K8-M8)*$C$1/3600+$C$7*Bilance!$N$26*(J8-I8))</f>
        <v>123.93502093442362</v>
      </c>
      <c r="O8" s="3"/>
      <c r="P8" s="18"/>
      <c r="Q8" s="13" t="s">
        <v>174</v>
      </c>
      <c r="R8" s="37">
        <v>20.5</v>
      </c>
      <c r="S8" s="15">
        <f>Bilance!$N$28</f>
        <v>28</v>
      </c>
      <c r="T8" s="16">
        <f t="shared" si="3"/>
        <v>3781.2687143507601</v>
      </c>
      <c r="U8" s="16">
        <f t="shared" si="4"/>
        <v>2412.725498878845</v>
      </c>
      <c r="V8" s="16">
        <f t="shared" si="5"/>
        <v>1206.3627494394225</v>
      </c>
      <c r="W8" s="19">
        <v>144.30000000000001</v>
      </c>
      <c r="X8" s="17">
        <f>+I36/1000*Bilance!$N$27*($C$5*Bilance!$N$26*(T8-V8)*$C$1/3600+$C$8*Bilance!$N$26*(S8-R8))-0.7*W8*Bilance!$N$26</f>
        <v>-498.37078516090696</v>
      </c>
      <c r="Y8" s="11"/>
      <c r="Z8"/>
    </row>
    <row r="9" spans="1:26" ht="13.5" customHeight="1" x14ac:dyDescent="0.25">
      <c r="A9" s="150" t="s">
        <v>148</v>
      </c>
      <c r="B9" s="151" t="s">
        <v>149</v>
      </c>
      <c r="C9" s="38">
        <f>1.5*Bilance!N26/5</f>
        <v>3.75</v>
      </c>
      <c r="D9" s="152" t="s">
        <v>150</v>
      </c>
      <c r="E9" s="3"/>
      <c r="F9" s="3"/>
      <c r="G9" s="20"/>
      <c r="H9" s="13" t="s">
        <v>175</v>
      </c>
      <c r="I9" s="14">
        <f>Bilance!$N$29</f>
        <v>28</v>
      </c>
      <c r="J9" s="15">
        <f>Bilance!$N$28</f>
        <v>28</v>
      </c>
      <c r="K9" s="16">
        <f t="shared" si="0"/>
        <v>3781.2687143507601</v>
      </c>
      <c r="L9" s="16">
        <f t="shared" si="1"/>
        <v>3781.2687143507601</v>
      </c>
      <c r="M9" s="16">
        <f t="shared" si="2"/>
        <v>2457.824664327994</v>
      </c>
      <c r="N9" s="17">
        <f>I37/1000*Bilance!$N$27*($C$5*Bilance!$N$26*(K9-M9)*$C$1/3600+$C$7*Bilance!$N$26*(J9-I9))</f>
        <v>123.93502093442362</v>
      </c>
      <c r="O9" s="3"/>
      <c r="P9" s="18"/>
      <c r="Q9" s="13" t="s">
        <v>175</v>
      </c>
      <c r="R9" s="37">
        <v>21.1</v>
      </c>
      <c r="S9" s="15">
        <f>Bilance!$N$28</f>
        <v>28</v>
      </c>
      <c r="T9" s="16">
        <f t="shared" si="3"/>
        <v>3781.2687143507601</v>
      </c>
      <c r="U9" s="16">
        <f t="shared" si="4"/>
        <v>2503.4440238934553</v>
      </c>
      <c r="V9" s="16">
        <f t="shared" si="5"/>
        <v>1251.7220119467277</v>
      </c>
      <c r="W9" s="19">
        <v>136.19999999999999</v>
      </c>
      <c r="X9" s="17">
        <f>+I37/1000*Bilance!$N$27*($C$5*Bilance!$N$26*(T9-V9)*$C$1/3600+$C$8*Bilance!$N$26*(S9-R9))-0.7*W9*Bilance!$N$26</f>
        <v>-473.59349109778884</v>
      </c>
      <c r="Y9" s="11"/>
      <c r="Z9"/>
    </row>
    <row r="10" spans="1:26" ht="13.5" customHeight="1" x14ac:dyDescent="0.25">
      <c r="A10" s="150" t="s">
        <v>151</v>
      </c>
      <c r="B10" s="151" t="s">
        <v>152</v>
      </c>
      <c r="C10" s="38">
        <f>3*Bilance!N26/5</f>
        <v>7.5</v>
      </c>
      <c r="D10" s="152" t="s">
        <v>150</v>
      </c>
      <c r="E10" s="3"/>
      <c r="F10" s="3"/>
      <c r="G10" s="20"/>
      <c r="H10" s="13" t="s">
        <v>176</v>
      </c>
      <c r="I10" s="14">
        <f>Bilance!$N$29</f>
        <v>28</v>
      </c>
      <c r="J10" s="15">
        <f>Bilance!$N$28</f>
        <v>28</v>
      </c>
      <c r="K10" s="16">
        <f t="shared" si="0"/>
        <v>3781.2687143507601</v>
      </c>
      <c r="L10" s="16">
        <f t="shared" si="1"/>
        <v>3781.2687143507601</v>
      </c>
      <c r="M10" s="16">
        <f t="shared" si="2"/>
        <v>2457.824664327994</v>
      </c>
      <c r="N10" s="17">
        <f>I38/1000*Bilance!$N$27*($C$5*Bilance!$N$26*(K10-M10)*$C$1/3600+$C$7*Bilance!$N$26*(J10-I10))</f>
        <v>119.93711703331317</v>
      </c>
      <c r="O10" s="3"/>
      <c r="P10" s="18"/>
      <c r="Q10" s="13" t="s">
        <v>176</v>
      </c>
      <c r="R10" s="37">
        <v>17.100000000000001</v>
      </c>
      <c r="S10" s="15">
        <f>Bilance!$N$28</f>
        <v>28</v>
      </c>
      <c r="T10" s="16">
        <f t="shared" si="3"/>
        <v>3781.2687143507601</v>
      </c>
      <c r="U10" s="16">
        <f t="shared" si="4"/>
        <v>1950.893474019806</v>
      </c>
      <c r="V10" s="16">
        <f t="shared" si="5"/>
        <v>975.44673700990302</v>
      </c>
      <c r="W10" s="19">
        <v>87.1</v>
      </c>
      <c r="X10" s="17">
        <f>+I38/1000*Bilance!$N$27*($C$5*Bilance!$N$26*(T10-V10)*$C$1/3600+$C$8*Bilance!$N$26*(S10-R10))-0.7*W10*Bilance!$N$26</f>
        <v>227.90261669651522</v>
      </c>
      <c r="Y10" s="11"/>
      <c r="Z10"/>
    </row>
    <row r="11" spans="1:26" ht="13.5" customHeight="1" thickBot="1" x14ac:dyDescent="0.3">
      <c r="A11" s="153" t="s">
        <v>153</v>
      </c>
      <c r="B11" s="154" t="s">
        <v>154</v>
      </c>
      <c r="C11" s="155">
        <v>0.03</v>
      </c>
      <c r="D11" s="156" t="s">
        <v>155</v>
      </c>
      <c r="E11" s="3"/>
      <c r="F11" s="3"/>
      <c r="G11" s="20"/>
      <c r="H11" s="13" t="s">
        <v>177</v>
      </c>
      <c r="I11" s="14">
        <f>Bilance!$N$29</f>
        <v>28</v>
      </c>
      <c r="J11" s="15">
        <f>Bilance!$N$28</f>
        <v>28</v>
      </c>
      <c r="K11" s="16">
        <f t="shared" si="0"/>
        <v>3781.2687143507601</v>
      </c>
      <c r="L11" s="16">
        <f t="shared" si="1"/>
        <v>3781.2687143507601</v>
      </c>
      <c r="M11" s="16">
        <f t="shared" si="2"/>
        <v>2457.824664327994</v>
      </c>
      <c r="N11" s="17">
        <f>I39/1000*Bilance!$N$27*($C$5*Bilance!$N$26*(K11-M11)*$C$1/3600+$C$7*Bilance!$N$26*(J11-I11))</f>
        <v>123.93502093442362</v>
      </c>
      <c r="O11" s="3"/>
      <c r="P11" s="18"/>
      <c r="Q11" s="13" t="s">
        <v>177</v>
      </c>
      <c r="R11" s="37">
        <v>11.7</v>
      </c>
      <c r="S11" s="15">
        <f>Bilance!$N$28</f>
        <v>28</v>
      </c>
      <c r="T11" s="16">
        <f t="shared" si="3"/>
        <v>3781.2687143507601</v>
      </c>
      <c r="U11" s="16">
        <f t="shared" si="4"/>
        <v>1375.5144663304147</v>
      </c>
      <c r="V11" s="16">
        <f t="shared" si="5"/>
        <v>687.75723316520737</v>
      </c>
      <c r="W11" s="19">
        <v>56.5</v>
      </c>
      <c r="X11" s="17">
        <f>+I39/1000*Bilance!$N$27*($C$5*Bilance!$N$26*(T11-V11)*$C$1/3600+$C$8*Bilance!$N$26*(S11-R11))-0.7*W11*Bilance!$N$26</f>
        <v>932.24446058185526</v>
      </c>
      <c r="Y11" s="11"/>
      <c r="Z11"/>
    </row>
    <row r="12" spans="1:26" ht="13.5" customHeight="1" x14ac:dyDescent="0.25">
      <c r="A12" s="157"/>
      <c r="B12" s="158"/>
      <c r="C12" s="34"/>
      <c r="D12" s="34"/>
      <c r="E12" s="3"/>
      <c r="F12" s="3"/>
      <c r="G12" s="20"/>
      <c r="H12" s="13" t="s">
        <v>178</v>
      </c>
      <c r="I12" s="14">
        <f>Bilance!$N$29</f>
        <v>28</v>
      </c>
      <c r="J12" s="15">
        <f>Bilance!$N$28</f>
        <v>28</v>
      </c>
      <c r="K12" s="16">
        <f t="shared" si="0"/>
        <v>3781.2687143507601</v>
      </c>
      <c r="L12" s="16">
        <f t="shared" si="1"/>
        <v>3781.2687143507601</v>
      </c>
      <c r="M12" s="16">
        <f t="shared" si="2"/>
        <v>2457.824664327994</v>
      </c>
      <c r="N12" s="17">
        <f>I40/1000*Bilance!$N$27*($C$5*Bilance!$N$26*(K12-M12)*$C$1/3600+$C$7*Bilance!$N$26*(J12-I12))</f>
        <v>119.93711703331317</v>
      </c>
      <c r="O12" s="3"/>
      <c r="P12" s="20"/>
      <c r="Q12" s="13" t="s">
        <v>178</v>
      </c>
      <c r="R12" s="37">
        <v>6.4</v>
      </c>
      <c r="S12" s="15">
        <f>Bilance!$N$28</f>
        <v>28</v>
      </c>
      <c r="T12" s="16">
        <f t="shared" si="3"/>
        <v>3781.2687143507601</v>
      </c>
      <c r="U12" s="16">
        <f t="shared" si="4"/>
        <v>961.43768435579625</v>
      </c>
      <c r="V12" s="16">
        <f t="shared" si="5"/>
        <v>480.71884217789813</v>
      </c>
      <c r="W12" s="19">
        <v>25.2</v>
      </c>
      <c r="X12" s="17">
        <f>+I40/1000*Bilance!$N$27*($C$5*Bilance!$N$26*(T12-V12)*$C$1/3600+$C$8*Bilance!$N$26*(S12-R12))-0.7*W12*Bilance!$N$26</f>
        <v>1536.6123321656657</v>
      </c>
      <c r="Y12" s="11"/>
      <c r="Z12"/>
    </row>
    <row r="13" spans="1:26" ht="13.5" customHeight="1" thickBot="1" x14ac:dyDescent="0.3">
      <c r="A13" s="157"/>
      <c r="B13" s="158"/>
      <c r="C13" s="34"/>
      <c r="D13" s="34"/>
      <c r="E13" s="3"/>
      <c r="F13" s="3"/>
      <c r="G13" s="20"/>
      <c r="H13" s="23" t="s">
        <v>179</v>
      </c>
      <c r="I13" s="24">
        <f>Bilance!$N$29</f>
        <v>28</v>
      </c>
      <c r="J13" s="25">
        <f>Bilance!$N$28</f>
        <v>28</v>
      </c>
      <c r="K13" s="26">
        <f t="shared" si="0"/>
        <v>3781.2687143507601</v>
      </c>
      <c r="L13" s="26">
        <f t="shared" si="1"/>
        <v>3781.2687143507601</v>
      </c>
      <c r="M13" s="26">
        <f t="shared" si="2"/>
        <v>2457.824664327994</v>
      </c>
      <c r="N13" s="27">
        <f>I41/1000*Bilance!$N$27*($C$5*Bilance!$N$26*(K13-M13)*$C$1/3600+$C$7*Bilance!$N$26*(J13-I13))</f>
        <v>123.93502093442362</v>
      </c>
      <c r="O13" s="3"/>
      <c r="P13" s="18"/>
      <c r="Q13" s="23" t="s">
        <v>179</v>
      </c>
      <c r="R13" s="42">
        <v>3.6</v>
      </c>
      <c r="S13" s="25">
        <f>Bilance!$N$28</f>
        <v>28</v>
      </c>
      <c r="T13" s="26">
        <f t="shared" si="3"/>
        <v>3781.2687143507601</v>
      </c>
      <c r="U13" s="26">
        <f t="shared" si="4"/>
        <v>790.61360925721021</v>
      </c>
      <c r="V13" s="26">
        <f t="shared" si="5"/>
        <v>395.30680462860511</v>
      </c>
      <c r="W13" s="28">
        <v>14.9</v>
      </c>
      <c r="X13" s="27">
        <f>+I41/1000*Bilance!$N$27*($C$5*Bilance!$N$26*(T13-V13)*$C$1/3600+$C$8*Bilance!$N$26*(S13-R13))-0.7*W13*Bilance!$N$26</f>
        <v>1888.6062246708559</v>
      </c>
      <c r="Y13" s="11"/>
      <c r="Z13"/>
    </row>
    <row r="14" spans="1:26" ht="13.5" customHeight="1" thickBot="1" x14ac:dyDescent="0.25">
      <c r="A14" s="157"/>
      <c r="B14" s="158"/>
      <c r="C14" s="34"/>
      <c r="D14" s="34"/>
      <c r="E14" s="3"/>
      <c r="F14" s="3"/>
      <c r="G14" s="3"/>
      <c r="H14" s="3"/>
      <c r="I14" s="4" t="s">
        <v>180</v>
      </c>
      <c r="J14" s="4" t="s">
        <v>181</v>
      </c>
      <c r="K14" s="4" t="s">
        <v>182</v>
      </c>
      <c r="L14" s="4" t="s">
        <v>183</v>
      </c>
      <c r="M14" s="4" t="s">
        <v>184</v>
      </c>
      <c r="N14" s="4" t="s">
        <v>161</v>
      </c>
      <c r="O14" s="3"/>
      <c r="P14" s="3"/>
      <c r="Q14" s="3"/>
      <c r="R14" s="3" t="s">
        <v>185</v>
      </c>
      <c r="S14" s="4" t="s">
        <v>181</v>
      </c>
      <c r="T14" s="4" t="s">
        <v>182</v>
      </c>
      <c r="U14" s="4" t="s">
        <v>183</v>
      </c>
      <c r="V14" s="4" t="s">
        <v>184</v>
      </c>
      <c r="W14" s="4"/>
      <c r="X14" s="29" t="s">
        <v>186</v>
      </c>
    </row>
    <row r="15" spans="1:26" ht="13.5" customHeight="1" x14ac:dyDescent="0.2">
      <c r="A15" s="157"/>
      <c r="B15" s="158"/>
      <c r="C15" s="159"/>
      <c r="D15" s="34"/>
      <c r="E15" s="3"/>
      <c r="F15" s="3"/>
      <c r="G15" s="3" t="s">
        <v>187</v>
      </c>
      <c r="H15" s="5" t="s">
        <v>165</v>
      </c>
      <c r="I15" s="6">
        <f>Bilance!$N$31</f>
        <v>20</v>
      </c>
      <c r="J15" s="7">
        <f>Bilance!$N$30</f>
        <v>24</v>
      </c>
      <c r="K15" s="8">
        <f>+EXP(23.58-(4044.2/(235.6+J15)))</f>
        <v>2985.1866867186986</v>
      </c>
      <c r="L15" s="8">
        <f>+EXP(23.58-(4044.2/(235.6+I15)))</f>
        <v>2339.333370248095</v>
      </c>
      <c r="M15" s="8">
        <f>+L15*$C$3</f>
        <v>1520.5666906612619</v>
      </c>
      <c r="N15" s="9">
        <f>I30/1000*(24-Bilance!$N$27)*($C$6*Bilance!$N$26*(K15-M15)*BAZ!$C$1/3600+$C$7*Bilance!$N$26*(J15-I15))</f>
        <v>186</v>
      </c>
      <c r="O15" s="3"/>
      <c r="P15" s="3" t="s">
        <v>166</v>
      </c>
      <c r="Q15" s="5" t="s">
        <v>165</v>
      </c>
      <c r="R15" s="160">
        <v>-2.9</v>
      </c>
      <c r="S15" s="7">
        <f>Bilance!$N$30</f>
        <v>24</v>
      </c>
      <c r="T15" s="8">
        <f>+EXP(23.58-(4044.2/(235.6+S15)))</f>
        <v>2985.1866867186986</v>
      </c>
      <c r="U15" s="8">
        <f t="shared" si="4"/>
        <v>493.01592201787452</v>
      </c>
      <c r="V15" s="8">
        <f>+U15*$C$4</f>
        <v>246.50796100893726</v>
      </c>
      <c r="W15" s="30"/>
      <c r="X15" s="9">
        <f>I30/1000*(24-Bilance!$N$27)*($C$6*Bilance!$N$26*(T15-V15)*$C$1/3600+$C$8*Bilance!$N$26*(S15-R15))</f>
        <v>1876.2750000000001</v>
      </c>
    </row>
    <row r="16" spans="1:26" ht="13.5" customHeight="1" x14ac:dyDescent="0.2">
      <c r="A16" s="157"/>
      <c r="B16" s="158"/>
      <c r="C16" s="159"/>
      <c r="D16" s="34"/>
      <c r="E16" s="3"/>
      <c r="F16" s="3"/>
      <c r="G16" s="20" t="s">
        <v>188</v>
      </c>
      <c r="H16" s="13" t="s">
        <v>168</v>
      </c>
      <c r="I16" s="14">
        <f>Bilance!$N$31</f>
        <v>20</v>
      </c>
      <c r="J16" s="15">
        <f>Bilance!$N$30</f>
        <v>24</v>
      </c>
      <c r="K16" s="16">
        <f t="shared" ref="K16:K26" si="6">+EXP(23.58-(4044.2/(235.6+J16)))</f>
        <v>2985.1866867186986</v>
      </c>
      <c r="L16" s="16">
        <f t="shared" ref="L16:L26" si="7">+EXP(23.58-(4044.2/(235.6+I16)))</f>
        <v>2339.333370248095</v>
      </c>
      <c r="M16" s="16">
        <f t="shared" ref="M16:M26" si="8">+L16*$C$3</f>
        <v>1520.5666906612619</v>
      </c>
      <c r="N16" s="17">
        <f>I31/1000*(24-Bilance!$N$27)*($C$6*Bilance!$N$26*(K16-M16)*BAZ!$C$1/3600+$C$7*Bilance!$N$26*(J16-I16))</f>
        <v>168</v>
      </c>
      <c r="O16" s="3"/>
      <c r="P16" s="18" t="s">
        <v>189</v>
      </c>
      <c r="Q16" s="13" t="s">
        <v>168</v>
      </c>
      <c r="R16" s="161">
        <v>-2.1</v>
      </c>
      <c r="S16" s="15">
        <f>Bilance!$N$30</f>
        <v>24</v>
      </c>
      <c r="T16" s="16">
        <f t="shared" ref="T16:T26" si="9">+EXP(23.58-(4044.2/(235.6+S16)))</f>
        <v>2985.1866867186986</v>
      </c>
      <c r="U16" s="16">
        <f t="shared" si="4"/>
        <v>523.26375735411636</v>
      </c>
      <c r="V16" s="16">
        <f t="shared" ref="V16:V26" si="10">+U16*$C$4</f>
        <v>261.63187867705818</v>
      </c>
      <c r="W16" s="31"/>
      <c r="X16" s="17">
        <f>I31/1000*(24-Bilance!$N$27)*($C$6*Bilance!$N$26*(T16-V16)*$C$1/3600+$C$8*Bilance!$N$26*(S16-R16))</f>
        <v>1644.3000000000002</v>
      </c>
    </row>
    <row r="17" spans="1:25" ht="13.5" customHeight="1" x14ac:dyDescent="0.2">
      <c r="A17" s="157"/>
      <c r="B17" s="158"/>
      <c r="C17" s="34"/>
      <c r="D17" s="34"/>
      <c r="E17" s="3"/>
      <c r="F17" s="3"/>
      <c r="G17" s="20"/>
      <c r="H17" s="13" t="s">
        <v>170</v>
      </c>
      <c r="I17" s="14">
        <f>Bilance!$N$31</f>
        <v>20</v>
      </c>
      <c r="J17" s="15">
        <f>Bilance!$N$30</f>
        <v>24</v>
      </c>
      <c r="K17" s="16">
        <f t="shared" si="6"/>
        <v>2985.1866867186986</v>
      </c>
      <c r="L17" s="16">
        <f t="shared" si="7"/>
        <v>2339.333370248095</v>
      </c>
      <c r="M17" s="16">
        <f t="shared" si="8"/>
        <v>1520.5666906612619</v>
      </c>
      <c r="N17" s="17">
        <f>I32/1000*(24-Bilance!$N$27)*($C$6*Bilance!$N$26*(K17-M17)*BAZ!$C$1/3600+$C$7*Bilance!$N$26*(J17-I17))</f>
        <v>186</v>
      </c>
      <c r="O17" s="3"/>
      <c r="P17" s="32"/>
      <c r="Q17" s="13" t="s">
        <v>170</v>
      </c>
      <c r="R17" s="161">
        <v>1.1000000000000001</v>
      </c>
      <c r="S17" s="15">
        <f>Bilance!$N$30</f>
        <v>24</v>
      </c>
      <c r="T17" s="16">
        <f t="shared" si="9"/>
        <v>2985.1866867186986</v>
      </c>
      <c r="U17" s="16">
        <f t="shared" si="4"/>
        <v>661.31973128229549</v>
      </c>
      <c r="V17" s="16">
        <f t="shared" si="10"/>
        <v>330.65986564114775</v>
      </c>
      <c r="W17" s="31"/>
      <c r="X17" s="17">
        <f>I32/1000*(24-Bilance!$N$27)*($C$6*Bilance!$N$26*(T17-V17)*$C$1/3600+$C$8*Bilance!$N$26*(S17-R17))</f>
        <v>1597.2750000000001</v>
      </c>
    </row>
    <row r="18" spans="1:25" ht="13.5" customHeight="1" x14ac:dyDescent="0.2">
      <c r="A18" s="157"/>
      <c r="B18" s="158"/>
      <c r="C18" s="34"/>
      <c r="D18" s="34"/>
      <c r="E18" s="3"/>
      <c r="F18" s="3"/>
      <c r="G18" s="20"/>
      <c r="H18" s="13" t="s">
        <v>171</v>
      </c>
      <c r="I18" s="14">
        <f>Bilance!$N$31</f>
        <v>20</v>
      </c>
      <c r="J18" s="15">
        <f>Bilance!$N$30</f>
        <v>24</v>
      </c>
      <c r="K18" s="16">
        <f t="shared" si="6"/>
        <v>2985.1866867186986</v>
      </c>
      <c r="L18" s="16">
        <f t="shared" si="7"/>
        <v>2339.333370248095</v>
      </c>
      <c r="M18" s="16">
        <f t="shared" si="8"/>
        <v>1520.5666906612619</v>
      </c>
      <c r="N18" s="17">
        <f>I33/1000*(24-Bilance!$N$27)*($C$6*Bilance!$N$26*(K18-M18)*BAZ!$C$1/3600+$C$7*Bilance!$N$26*(J18-I18))</f>
        <v>180</v>
      </c>
      <c r="O18" s="3"/>
      <c r="P18" s="32"/>
      <c r="Q18" s="13" t="s">
        <v>171</v>
      </c>
      <c r="R18" s="161">
        <v>4.5</v>
      </c>
      <c r="S18" s="15">
        <f>Bilance!$N$30</f>
        <v>24</v>
      </c>
      <c r="T18" s="16">
        <f t="shared" si="9"/>
        <v>2985.1866867186986</v>
      </c>
      <c r="U18" s="16">
        <f t="shared" si="4"/>
        <v>842.34100216353841</v>
      </c>
      <c r="V18" s="16">
        <f t="shared" si="10"/>
        <v>421.1705010817692</v>
      </c>
      <c r="W18" s="31"/>
      <c r="X18" s="17">
        <f>I33/1000*(24-Bilance!$N$27)*($C$6*Bilance!$N$26*(T18-V18)*$C$1/3600+$C$8*Bilance!$N$26*(S18-R18))</f>
        <v>1316.25</v>
      </c>
    </row>
    <row r="19" spans="1:25" ht="13.5" customHeight="1" x14ac:dyDescent="0.2">
      <c r="A19" s="158"/>
      <c r="B19" s="158"/>
      <c r="C19" s="34"/>
      <c r="D19" s="34"/>
      <c r="E19" s="3"/>
      <c r="F19" s="3"/>
      <c r="G19" s="20"/>
      <c r="H19" s="13" t="s">
        <v>172</v>
      </c>
      <c r="I19" s="14">
        <f>Bilance!$N$31</f>
        <v>20</v>
      </c>
      <c r="J19" s="15">
        <f>Bilance!$N$30</f>
        <v>24</v>
      </c>
      <c r="K19" s="16">
        <f t="shared" si="6"/>
        <v>2985.1866867186986</v>
      </c>
      <c r="L19" s="16">
        <f t="shared" si="7"/>
        <v>2339.333370248095</v>
      </c>
      <c r="M19" s="16">
        <f t="shared" si="8"/>
        <v>1520.5666906612619</v>
      </c>
      <c r="N19" s="17">
        <f>I34/1000*(24-Bilance!$N$27)*($C$6*Bilance!$N$26*(K19-M19)*BAZ!$C$1/3600+$C$7*Bilance!$N$26*(J19-I19))</f>
        <v>186</v>
      </c>
      <c r="O19" s="3"/>
      <c r="P19" s="32"/>
      <c r="Q19" s="13" t="s">
        <v>172</v>
      </c>
      <c r="R19" s="161">
        <v>8.8000000000000007</v>
      </c>
      <c r="S19" s="15">
        <f>Bilance!$N$30</f>
        <v>24</v>
      </c>
      <c r="T19" s="16">
        <f t="shared" si="9"/>
        <v>2985.1866867186986</v>
      </c>
      <c r="U19" s="16">
        <f t="shared" si="4"/>
        <v>1132.9009391720065</v>
      </c>
      <c r="V19" s="16">
        <f t="shared" si="10"/>
        <v>566.45046958600324</v>
      </c>
      <c r="W19" s="31"/>
      <c r="X19" s="17">
        <f>I34/1000*(24-Bilance!$N$27)*($C$6*Bilance!$N$26*(T19-V19)*$C$1/3600+$C$8*Bilance!$N$26*(S19-R19))</f>
        <v>1060.2</v>
      </c>
    </row>
    <row r="20" spans="1:25" s="33" customFormat="1" ht="13.5" customHeight="1" x14ac:dyDescent="0.2">
      <c r="A20" s="158"/>
      <c r="B20" s="158"/>
      <c r="C20" s="34"/>
      <c r="D20" s="34"/>
      <c r="E20" s="162"/>
      <c r="F20" s="163"/>
      <c r="G20" s="20"/>
      <c r="H20" s="13" t="s">
        <v>173</v>
      </c>
      <c r="I20" s="14">
        <f>Bilance!$N$31</f>
        <v>20</v>
      </c>
      <c r="J20" s="15">
        <f>Bilance!$N$30</f>
        <v>24</v>
      </c>
      <c r="K20" s="16">
        <f t="shared" si="6"/>
        <v>2985.1866867186986</v>
      </c>
      <c r="L20" s="16">
        <f t="shared" si="7"/>
        <v>2339.333370248095</v>
      </c>
      <c r="M20" s="16">
        <f t="shared" si="8"/>
        <v>1520.5666906612619</v>
      </c>
      <c r="N20" s="17">
        <f>I35/1000*(24-Bilance!$N$27)*($C$6*Bilance!$N$26*(K20-M20)*BAZ!$C$1/3600+$C$7*Bilance!$N$26*(J20-I20))</f>
        <v>180</v>
      </c>
      <c r="O20" s="32"/>
      <c r="P20" s="32"/>
      <c r="Q20" s="13" t="s">
        <v>173</v>
      </c>
      <c r="R20" s="161">
        <v>11.1</v>
      </c>
      <c r="S20" s="15">
        <f>Bilance!$N$30</f>
        <v>24</v>
      </c>
      <c r="T20" s="16">
        <f t="shared" si="9"/>
        <v>2985.1866867186986</v>
      </c>
      <c r="U20" s="16">
        <f t="shared" si="4"/>
        <v>1321.8795318191733</v>
      </c>
      <c r="V20" s="16">
        <f t="shared" si="10"/>
        <v>660.93976590958664</v>
      </c>
      <c r="W20" s="31"/>
      <c r="X20" s="17">
        <f>I35/1000*(24-Bilance!$N$27)*($C$6*Bilance!$N$26*(T20-V20)*$C$1/3600+$C$8*Bilance!$N$26*(S20-R20))</f>
        <v>870.75</v>
      </c>
      <c r="Y20" s="1"/>
    </row>
    <row r="21" spans="1:25" s="33" customFormat="1" ht="13.5" customHeight="1" x14ac:dyDescent="0.2">
      <c r="A21" s="158"/>
      <c r="B21" s="158"/>
      <c r="C21" s="34"/>
      <c r="D21" s="34"/>
      <c r="E21" s="162"/>
      <c r="F21" s="163"/>
      <c r="G21" s="20"/>
      <c r="H21" s="13" t="s">
        <v>174</v>
      </c>
      <c r="I21" s="14">
        <f>Bilance!$N$31</f>
        <v>20</v>
      </c>
      <c r="J21" s="15">
        <f>Bilance!$N$30</f>
        <v>24</v>
      </c>
      <c r="K21" s="16">
        <f t="shared" si="6"/>
        <v>2985.1866867186986</v>
      </c>
      <c r="L21" s="16">
        <f t="shared" si="7"/>
        <v>2339.333370248095</v>
      </c>
      <c r="M21" s="16">
        <f t="shared" si="8"/>
        <v>1520.5666906612619</v>
      </c>
      <c r="N21" s="17">
        <f>I36/1000*(24-Bilance!$N$27)*($C$6*Bilance!$N$26*(K21-M21)*BAZ!$C$1/3600+$C$7*Bilance!$N$26*(J21-I21))</f>
        <v>186</v>
      </c>
      <c r="O21" s="32"/>
      <c r="P21" s="32"/>
      <c r="Q21" s="13" t="s">
        <v>174</v>
      </c>
      <c r="R21" s="161">
        <v>13</v>
      </c>
      <c r="S21" s="15">
        <f>Bilance!$N$30</f>
        <v>24</v>
      </c>
      <c r="T21" s="16">
        <f t="shared" si="9"/>
        <v>2985.1866867186986</v>
      </c>
      <c r="U21" s="16">
        <f t="shared" si="4"/>
        <v>1498.3199988415454</v>
      </c>
      <c r="V21" s="16">
        <f t="shared" si="10"/>
        <v>749.15999942077269</v>
      </c>
      <c r="W21" s="31"/>
      <c r="X21" s="17">
        <f>I36/1000*(24-Bilance!$N$27)*($C$6*Bilance!$N$26*(T21-V21)*$C$1/3600+$C$8*Bilance!$N$26*(S21-R21))</f>
        <v>767.25</v>
      </c>
      <c r="Y21" s="1"/>
    </row>
    <row r="22" spans="1:25" s="33" customFormat="1" ht="13.5" customHeight="1" x14ac:dyDescent="0.2">
      <c r="A22" s="158"/>
      <c r="B22" s="158"/>
      <c r="C22" s="34"/>
      <c r="D22" s="34"/>
      <c r="E22" s="162"/>
      <c r="F22" s="163"/>
      <c r="G22" s="20"/>
      <c r="H22" s="13" t="s">
        <v>175</v>
      </c>
      <c r="I22" s="14">
        <f>Bilance!$N$31</f>
        <v>20</v>
      </c>
      <c r="J22" s="15">
        <f>Bilance!$N$30</f>
        <v>24</v>
      </c>
      <c r="K22" s="16">
        <f t="shared" si="6"/>
        <v>2985.1866867186986</v>
      </c>
      <c r="L22" s="16">
        <f t="shared" si="7"/>
        <v>2339.333370248095</v>
      </c>
      <c r="M22" s="16">
        <f t="shared" si="8"/>
        <v>1520.5666906612619</v>
      </c>
      <c r="N22" s="17">
        <f>I37/1000*(24-Bilance!$N$27)*($C$6*Bilance!$N$26*(K22-M22)*BAZ!$C$1/3600+$C$7*Bilance!$N$26*(J22-I22))</f>
        <v>186</v>
      </c>
      <c r="O22" s="32"/>
      <c r="P22" s="32"/>
      <c r="Q22" s="13" t="s">
        <v>175</v>
      </c>
      <c r="R22" s="161">
        <v>13.4</v>
      </c>
      <c r="S22" s="15">
        <f>Bilance!$N$30</f>
        <v>24</v>
      </c>
      <c r="T22" s="16">
        <f t="shared" si="9"/>
        <v>2985.1866867186986</v>
      </c>
      <c r="U22" s="16">
        <f t="shared" si="4"/>
        <v>1537.9919742160471</v>
      </c>
      <c r="V22" s="16">
        <f t="shared" si="10"/>
        <v>768.99598710802354</v>
      </c>
      <c r="W22" s="31"/>
      <c r="X22" s="17">
        <f>I37/1000*(24-Bilance!$N$27)*($C$6*Bilance!$N$26*(T22-V22)*$C$1/3600+$C$8*Bilance!$N$26*(S22-R22))</f>
        <v>739.35</v>
      </c>
      <c r="Y22" s="1"/>
    </row>
    <row r="23" spans="1:25" s="33" customFormat="1" ht="13.5" customHeight="1" x14ac:dyDescent="0.2">
      <c r="A23" s="158"/>
      <c r="B23" s="158"/>
      <c r="C23" s="34"/>
      <c r="D23" s="34"/>
      <c r="E23" s="162"/>
      <c r="F23" s="163"/>
      <c r="G23" s="20"/>
      <c r="H23" s="13" t="s">
        <v>176</v>
      </c>
      <c r="I23" s="14">
        <f>Bilance!$N$31</f>
        <v>20</v>
      </c>
      <c r="J23" s="15">
        <f>Bilance!$N$30</f>
        <v>24</v>
      </c>
      <c r="K23" s="16">
        <f t="shared" si="6"/>
        <v>2985.1866867186986</v>
      </c>
      <c r="L23" s="16">
        <f t="shared" si="7"/>
        <v>2339.333370248095</v>
      </c>
      <c r="M23" s="16">
        <f t="shared" si="8"/>
        <v>1520.5666906612619</v>
      </c>
      <c r="N23" s="17">
        <f>I38/1000*(24-Bilance!$N$27)*($C$6*Bilance!$N$26*(K23-M23)*BAZ!$C$1/3600+$C$7*Bilance!$N$26*(J23-I23))</f>
        <v>180</v>
      </c>
      <c r="O23" s="32"/>
      <c r="P23" s="32"/>
      <c r="Q23" s="13" t="s">
        <v>176</v>
      </c>
      <c r="R23" s="161">
        <v>9.9</v>
      </c>
      <c r="S23" s="15">
        <f>Bilance!$N$30</f>
        <v>24</v>
      </c>
      <c r="T23" s="16">
        <f t="shared" si="9"/>
        <v>2985.1866867186986</v>
      </c>
      <c r="U23" s="16">
        <f t="shared" si="4"/>
        <v>1220.0904134897783</v>
      </c>
      <c r="V23" s="16">
        <f t="shared" si="10"/>
        <v>610.04520674488913</v>
      </c>
      <c r="W23" s="31"/>
      <c r="X23" s="17">
        <f>I38/1000*(24-Bilance!$N$27)*($C$6*Bilance!$N$26*(T23-V23)*$C$1/3600+$C$8*Bilance!$N$26*(S23-R23))</f>
        <v>951.75</v>
      </c>
      <c r="Y23" s="1"/>
    </row>
    <row r="24" spans="1:25" s="33" customFormat="1" ht="13.5" customHeight="1" x14ac:dyDescent="0.2">
      <c r="A24" s="158"/>
      <c r="B24" s="158"/>
      <c r="C24" s="34"/>
      <c r="D24" s="34"/>
      <c r="E24" s="162"/>
      <c r="F24" s="163"/>
      <c r="G24" s="20"/>
      <c r="H24" s="13" t="s">
        <v>177</v>
      </c>
      <c r="I24" s="14">
        <f>Bilance!$N$31</f>
        <v>20</v>
      </c>
      <c r="J24" s="15">
        <f>Bilance!$N$30</f>
        <v>24</v>
      </c>
      <c r="K24" s="16">
        <f t="shared" si="6"/>
        <v>2985.1866867186986</v>
      </c>
      <c r="L24" s="16">
        <f t="shared" si="7"/>
        <v>2339.333370248095</v>
      </c>
      <c r="M24" s="16">
        <f t="shared" si="8"/>
        <v>1520.5666906612619</v>
      </c>
      <c r="N24" s="17">
        <f>I39/1000*(24-Bilance!$N$27)*($C$6*Bilance!$N$26*(K24-M24)*BAZ!$C$1/3600+$C$7*Bilance!$N$26*(J24-I24))</f>
        <v>186</v>
      </c>
      <c r="O24" s="3"/>
      <c r="P24" s="32"/>
      <c r="Q24" s="13" t="s">
        <v>177</v>
      </c>
      <c r="R24" s="161">
        <v>5.4</v>
      </c>
      <c r="S24" s="15">
        <f>Bilance!$N$30</f>
        <v>24</v>
      </c>
      <c r="T24" s="16">
        <f t="shared" si="9"/>
        <v>2985.1866867186986</v>
      </c>
      <c r="U24" s="16">
        <f t="shared" si="4"/>
        <v>897.02805399767408</v>
      </c>
      <c r="V24" s="16">
        <f t="shared" si="10"/>
        <v>448.51402699883704</v>
      </c>
      <c r="W24" s="31"/>
      <c r="X24" s="17">
        <f>I39/1000*(24-Bilance!$N$27)*($C$6*Bilance!$N$26*(T24-V24)*$C$1/3600+$C$8*Bilance!$N$26*(S24-R24))</f>
        <v>1297.3500000000001</v>
      </c>
      <c r="Y24" s="1"/>
    </row>
    <row r="25" spans="1:25" s="33" customFormat="1" ht="13.5" customHeight="1" x14ac:dyDescent="0.2">
      <c r="A25" s="158"/>
      <c r="B25" s="158"/>
      <c r="C25" s="34"/>
      <c r="D25" s="34"/>
      <c r="E25" s="163"/>
      <c r="F25" s="163"/>
      <c r="G25" s="18"/>
      <c r="H25" s="13" t="s">
        <v>178</v>
      </c>
      <c r="I25" s="14">
        <f>Bilance!$N$31</f>
        <v>20</v>
      </c>
      <c r="J25" s="15">
        <f>Bilance!$N$30</f>
        <v>24</v>
      </c>
      <c r="K25" s="16">
        <f t="shared" si="6"/>
        <v>2985.1866867186986</v>
      </c>
      <c r="L25" s="16">
        <f t="shared" si="7"/>
        <v>2339.333370248095</v>
      </c>
      <c r="M25" s="16">
        <f t="shared" si="8"/>
        <v>1520.5666906612619</v>
      </c>
      <c r="N25" s="17">
        <f>I40/1000*(24-Bilance!$N$27)*($C$6*Bilance!$N$26*(K25-M25)*BAZ!$C$1/3600+$C$7*Bilance!$N$26*(J25-I25))</f>
        <v>180</v>
      </c>
      <c r="O25" s="3"/>
      <c r="P25" s="32"/>
      <c r="Q25" s="13" t="s">
        <v>178</v>
      </c>
      <c r="R25" s="161">
        <v>1.3</v>
      </c>
      <c r="S25" s="15">
        <f>Bilance!$N$30</f>
        <v>24</v>
      </c>
      <c r="T25" s="16">
        <f t="shared" si="9"/>
        <v>2985.1866867186986</v>
      </c>
      <c r="U25" s="16">
        <f t="shared" si="4"/>
        <v>670.92803621004168</v>
      </c>
      <c r="V25" s="16">
        <f t="shared" si="10"/>
        <v>335.46401810502084</v>
      </c>
      <c r="W25" s="31"/>
      <c r="X25" s="17">
        <f>I40/1000*(24-Bilance!$N$27)*($C$6*Bilance!$N$26*(T25-V25)*$C$1/3600+$C$8*Bilance!$N$26*(S25-R25))</f>
        <v>1532.25</v>
      </c>
      <c r="Y25" s="1"/>
    </row>
    <row r="26" spans="1:25" s="33" customFormat="1" ht="13.5" customHeight="1" thickBot="1" x14ac:dyDescent="0.25">
      <c r="A26" s="158"/>
      <c r="B26" s="158"/>
      <c r="C26" s="34"/>
      <c r="D26" s="34"/>
      <c r="E26" s="163"/>
      <c r="F26" s="163"/>
      <c r="G26" s="18"/>
      <c r="H26" s="23" t="s">
        <v>179</v>
      </c>
      <c r="I26" s="24">
        <f>Bilance!$N$31</f>
        <v>20</v>
      </c>
      <c r="J26" s="25">
        <f>Bilance!$N$30</f>
        <v>24</v>
      </c>
      <c r="K26" s="26">
        <f t="shared" si="6"/>
        <v>2985.1866867186986</v>
      </c>
      <c r="L26" s="26">
        <f t="shared" si="7"/>
        <v>2339.333370248095</v>
      </c>
      <c r="M26" s="26">
        <f t="shared" si="8"/>
        <v>1520.5666906612619</v>
      </c>
      <c r="N26" s="27">
        <f>I41/1000*(24-Bilance!$N$27)*($C$6*Bilance!$N$26*(K26-M26)*BAZ!$C$1/3600+$C$7*Bilance!$N$26*(J26-I26))</f>
        <v>186</v>
      </c>
      <c r="O26" s="3"/>
      <c r="P26" s="34"/>
      <c r="Q26" s="23" t="s">
        <v>179</v>
      </c>
      <c r="R26" s="164">
        <v>-1.1000000000000001</v>
      </c>
      <c r="S26" s="25">
        <f>Bilance!$N$30</f>
        <v>24</v>
      </c>
      <c r="T26" s="26">
        <f t="shared" si="9"/>
        <v>2985.1866867186986</v>
      </c>
      <c r="U26" s="26">
        <f t="shared" si="4"/>
        <v>563.374482759437</v>
      </c>
      <c r="V26" s="26">
        <f t="shared" si="10"/>
        <v>281.6872413797185</v>
      </c>
      <c r="W26" s="35"/>
      <c r="X26" s="27">
        <f>I41/1000*(24-Bilance!$N$27)*($C$6*Bilance!$N$26*(T26-V26)*$C$1/3600+$C$8*Bilance!$N$26*(S26-R26))</f>
        <v>1750.7249999999999</v>
      </c>
      <c r="Y26" s="1"/>
    </row>
    <row r="27" spans="1:25" ht="13.5" customHeight="1" thickBot="1" x14ac:dyDescent="0.25">
      <c r="A27" s="158"/>
      <c r="B27" s="158"/>
      <c r="C27" s="34"/>
      <c r="D27" s="34"/>
      <c r="E27" s="163"/>
      <c r="F27" s="34"/>
      <c r="G27" s="165"/>
      <c r="H27" s="32"/>
      <c r="I27" s="32"/>
      <c r="J27" s="166"/>
      <c r="K27" s="16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5" ht="13.5" customHeight="1" x14ac:dyDescent="0.2">
      <c r="A28" s="158"/>
      <c r="B28" s="158"/>
      <c r="C28" s="34"/>
      <c r="D28" s="34"/>
      <c r="E28" s="162"/>
      <c r="F28" s="34"/>
      <c r="G28" s="165"/>
      <c r="H28" s="167"/>
      <c r="I28" s="8"/>
      <c r="J28" s="168"/>
      <c r="K28" s="169" t="s">
        <v>190</v>
      </c>
      <c r="L28" s="169" t="s">
        <v>190</v>
      </c>
      <c r="M28" s="170" t="s">
        <v>191</v>
      </c>
      <c r="N28" s="170" t="s">
        <v>192</v>
      </c>
      <c r="O28" s="170" t="s">
        <v>193</v>
      </c>
      <c r="P28" s="171" t="s">
        <v>193</v>
      </c>
      <c r="Q28" s="3"/>
      <c r="R28" s="3"/>
      <c r="S28" s="3"/>
      <c r="T28" s="3"/>
      <c r="U28" s="3"/>
      <c r="V28" s="3"/>
      <c r="W28" s="3"/>
      <c r="X28" s="3"/>
    </row>
    <row r="29" spans="1:25" ht="13.5" customHeight="1" x14ac:dyDescent="0.2">
      <c r="A29" s="158"/>
      <c r="B29" s="158"/>
      <c r="C29" s="34"/>
      <c r="D29" s="34"/>
      <c r="E29" s="34"/>
      <c r="F29" s="34"/>
      <c r="G29" s="34"/>
      <c r="H29" s="13"/>
      <c r="I29" s="36"/>
      <c r="J29" s="37"/>
      <c r="K29" s="38" t="s">
        <v>194</v>
      </c>
      <c r="L29" s="38" t="s">
        <v>166</v>
      </c>
      <c r="M29" s="37" t="s">
        <v>195</v>
      </c>
      <c r="N29" s="37"/>
      <c r="O29" s="38" t="s">
        <v>194</v>
      </c>
      <c r="P29" s="47" t="s">
        <v>166</v>
      </c>
      <c r="Q29" s="172"/>
      <c r="R29" s="172"/>
      <c r="S29" s="172"/>
      <c r="T29" s="172"/>
      <c r="U29" s="172"/>
      <c r="V29" s="172"/>
      <c r="W29" s="172"/>
      <c r="X29" s="172"/>
    </row>
    <row r="30" spans="1:25" ht="13.5" customHeight="1" x14ac:dyDescent="0.2">
      <c r="A30" s="158"/>
      <c r="B30" s="158"/>
      <c r="C30" s="34"/>
      <c r="D30" s="34"/>
      <c r="E30" s="32"/>
      <c r="F30" s="34"/>
      <c r="G30" s="34"/>
      <c r="H30" s="13" t="s">
        <v>165</v>
      </c>
      <c r="I30" s="37">
        <v>31</v>
      </c>
      <c r="J30" s="37"/>
      <c r="K30" s="40">
        <f t="shared" ref="K30:K41" si="11">+N2+N15</f>
        <v>309.93502093442362</v>
      </c>
      <c r="L30" s="41">
        <f t="shared" ref="L30:L41" si="12">+X2+X15</f>
        <v>3843.2601879502872</v>
      </c>
      <c r="M30" s="16">
        <f>Bilance!$N$32</f>
        <v>120</v>
      </c>
      <c r="N30" s="173">
        <f>+M30*$C$11*1000*4187*(Bilance!$N$28-10)/3600000</f>
        <v>75.365999999999985</v>
      </c>
      <c r="O30" s="41">
        <f>N30+K30</f>
        <v>385.3010209344236</v>
      </c>
      <c r="P30" s="174">
        <f>N30+L30</f>
        <v>3918.6261879502872</v>
      </c>
      <c r="Q30" s="172"/>
      <c r="R30" s="172"/>
      <c r="S30" s="172"/>
      <c r="T30" s="172"/>
      <c r="U30" s="172"/>
      <c r="V30" s="172"/>
      <c r="W30" s="172"/>
      <c r="X30" s="172"/>
    </row>
    <row r="31" spans="1:25" ht="13.5" customHeight="1" x14ac:dyDescent="0.2">
      <c r="A31" s="158"/>
      <c r="B31" s="158"/>
      <c r="C31" s="34"/>
      <c r="D31" s="34"/>
      <c r="E31" s="32"/>
      <c r="F31" s="34"/>
      <c r="G31" s="34"/>
      <c r="H31" s="13" t="s">
        <v>168</v>
      </c>
      <c r="I31" s="37">
        <v>28</v>
      </c>
      <c r="J31" s="37"/>
      <c r="K31" s="40">
        <f t="shared" si="11"/>
        <v>279.9413092310923</v>
      </c>
      <c r="L31" s="41">
        <f t="shared" si="12"/>
        <v>3202.9142614052907</v>
      </c>
      <c r="M31" s="16">
        <f>Bilance!$N$32</f>
        <v>120</v>
      </c>
      <c r="N31" s="173">
        <f>+M31*$C$11*1000*4187*(Bilance!$N$28-10)/3600000</f>
        <v>75.365999999999985</v>
      </c>
      <c r="O31" s="41">
        <f t="shared" ref="O31:O41" si="13">N31+K31</f>
        <v>355.30730923109229</v>
      </c>
      <c r="P31" s="174">
        <f t="shared" ref="P31:P41" si="14">N31+L31</f>
        <v>3278.2802614052907</v>
      </c>
      <c r="Q31" s="172"/>
      <c r="R31" s="172"/>
      <c r="S31" s="172"/>
      <c r="T31" s="172"/>
      <c r="U31" s="172"/>
      <c r="V31" s="172"/>
      <c r="W31" s="172"/>
      <c r="X31" s="172"/>
    </row>
    <row r="32" spans="1:25" ht="13.5" customHeight="1" x14ac:dyDescent="0.2">
      <c r="A32" s="158"/>
      <c r="B32" s="158"/>
      <c r="C32" s="34"/>
      <c r="D32" s="34"/>
      <c r="E32" s="32"/>
      <c r="F32" s="34"/>
      <c r="G32" s="34"/>
      <c r="H32" s="13" t="s">
        <v>170</v>
      </c>
      <c r="I32" s="37">
        <v>31</v>
      </c>
      <c r="J32" s="37"/>
      <c r="K32" s="40">
        <f t="shared" si="11"/>
        <v>309.93502093442362</v>
      </c>
      <c r="L32" s="41">
        <f t="shared" si="12"/>
        <v>2788.4926718734182</v>
      </c>
      <c r="M32" s="16">
        <f>Bilance!$N$32</f>
        <v>120</v>
      </c>
      <c r="N32" s="173">
        <f>+M32*$C$11*1000*4187*(Bilance!$N$28-10)/3600000</f>
        <v>75.365999999999985</v>
      </c>
      <c r="O32" s="41">
        <f t="shared" si="13"/>
        <v>385.3010209344236</v>
      </c>
      <c r="P32" s="174">
        <f t="shared" si="14"/>
        <v>2863.8586718734182</v>
      </c>
      <c r="Q32" s="172"/>
      <c r="R32" s="172"/>
      <c r="S32" s="172"/>
      <c r="T32" s="172"/>
      <c r="U32" s="172"/>
      <c r="V32" s="172"/>
      <c r="W32" s="172"/>
      <c r="X32" s="172"/>
    </row>
    <row r="33" spans="1:24" ht="13.5" customHeight="1" x14ac:dyDescent="0.2">
      <c r="A33" s="158"/>
      <c r="B33" s="158"/>
      <c r="C33" s="34"/>
      <c r="D33" s="34"/>
      <c r="E33" s="32"/>
      <c r="F33" s="34"/>
      <c r="G33" s="34"/>
      <c r="H33" s="13" t="s">
        <v>171</v>
      </c>
      <c r="I33" s="37">
        <v>30</v>
      </c>
      <c r="J33" s="37"/>
      <c r="K33" s="40">
        <f t="shared" si="11"/>
        <v>299.93711703331314</v>
      </c>
      <c r="L33" s="41">
        <f t="shared" si="12"/>
        <v>1772.6034337698718</v>
      </c>
      <c r="M33" s="16">
        <f>Bilance!$N$32</f>
        <v>120</v>
      </c>
      <c r="N33" s="173">
        <f>+M33*$C$11*1000*4187*(Bilance!$N$28-10)/3600000</f>
        <v>75.365999999999985</v>
      </c>
      <c r="O33" s="41">
        <f t="shared" si="13"/>
        <v>375.30311703331313</v>
      </c>
      <c r="P33" s="174">
        <f t="shared" si="14"/>
        <v>1847.9694337698718</v>
      </c>
      <c r="Q33" s="172"/>
      <c r="R33" s="172"/>
      <c r="S33" s="172"/>
      <c r="T33" s="172"/>
      <c r="U33" s="172"/>
      <c r="V33" s="172"/>
      <c r="W33" s="172"/>
      <c r="X33" s="172"/>
    </row>
    <row r="34" spans="1:24" ht="13.5" customHeight="1" x14ac:dyDescent="0.2">
      <c r="A34" s="158"/>
      <c r="B34" s="158"/>
      <c r="C34" s="34"/>
      <c r="D34" s="34"/>
      <c r="E34" s="32"/>
      <c r="F34" s="34"/>
      <c r="G34" s="34"/>
      <c r="H34" s="13" t="s">
        <v>172</v>
      </c>
      <c r="I34" s="37">
        <v>31</v>
      </c>
      <c r="J34" s="37"/>
      <c r="K34" s="40">
        <f t="shared" si="11"/>
        <v>309.93502093442362</v>
      </c>
      <c r="L34" s="41">
        <f t="shared" si="12"/>
        <v>864.12653802350337</v>
      </c>
      <c r="M34" s="16">
        <f>Bilance!$N$32</f>
        <v>120</v>
      </c>
      <c r="N34" s="173">
        <f>+M34*$C$11*1000*4187*(Bilance!$N$28-10)/3600000</f>
        <v>75.365999999999985</v>
      </c>
      <c r="O34" s="41">
        <f t="shared" si="13"/>
        <v>385.3010209344236</v>
      </c>
      <c r="P34" s="174">
        <f t="shared" si="14"/>
        <v>939.49253802350336</v>
      </c>
      <c r="Q34" s="172"/>
      <c r="R34" s="172"/>
      <c r="S34" s="172"/>
      <c r="T34" s="172"/>
      <c r="U34" s="172"/>
      <c r="V34" s="172"/>
      <c r="W34" s="172"/>
      <c r="X34" s="172"/>
    </row>
    <row r="35" spans="1:24" ht="13.5" customHeight="1" x14ac:dyDescent="0.2">
      <c r="A35" s="158"/>
      <c r="B35" s="158"/>
      <c r="C35" s="34"/>
      <c r="D35" s="34"/>
      <c r="E35" s="32"/>
      <c r="F35" s="34"/>
      <c r="G35" s="34"/>
      <c r="H35" s="13" t="s">
        <v>173</v>
      </c>
      <c r="I35" s="37">
        <v>30</v>
      </c>
      <c r="J35" s="37"/>
      <c r="K35" s="40">
        <f t="shared" si="11"/>
        <v>299.93711703331314</v>
      </c>
      <c r="L35" s="41">
        <f t="shared" si="12"/>
        <v>471.52248215532427</v>
      </c>
      <c r="M35" s="16">
        <f>Bilance!$N$32</f>
        <v>120</v>
      </c>
      <c r="N35" s="173">
        <f>+M35*$C$11*1000*4187*(Bilance!$N$28-10)/3600000</f>
        <v>75.365999999999985</v>
      </c>
      <c r="O35" s="41">
        <f t="shared" si="13"/>
        <v>375.30311703331313</v>
      </c>
      <c r="P35" s="174">
        <f t="shared" si="14"/>
        <v>546.88848215532425</v>
      </c>
      <c r="Q35" s="172"/>
      <c r="R35" s="172"/>
      <c r="S35" s="172"/>
      <c r="T35" s="172"/>
      <c r="U35" s="172"/>
      <c r="V35" s="172"/>
      <c r="W35" s="172"/>
      <c r="X35" s="172"/>
    </row>
    <row r="36" spans="1:24" ht="13.5" customHeight="1" x14ac:dyDescent="0.2">
      <c r="A36" s="158"/>
      <c r="B36" s="158"/>
      <c r="C36" s="34"/>
      <c r="D36" s="34"/>
      <c r="E36" s="32"/>
      <c r="F36" s="34"/>
      <c r="G36" s="34"/>
      <c r="H36" s="13" t="s">
        <v>174</v>
      </c>
      <c r="I36" s="37">
        <v>31</v>
      </c>
      <c r="J36" s="37"/>
      <c r="K36" s="40">
        <f t="shared" si="11"/>
        <v>309.93502093442362</v>
      </c>
      <c r="L36" s="41">
        <f t="shared" si="12"/>
        <v>268.87921483909304</v>
      </c>
      <c r="M36" s="16">
        <f>Bilance!$N$32</f>
        <v>120</v>
      </c>
      <c r="N36" s="173">
        <f>+M36*$C$11*1000*4187*(Bilance!$N$28-10)/3600000</f>
        <v>75.365999999999985</v>
      </c>
      <c r="O36" s="41">
        <f t="shared" si="13"/>
        <v>385.3010209344236</v>
      </c>
      <c r="P36" s="174">
        <f t="shared" si="14"/>
        <v>344.24521483909302</v>
      </c>
      <c r="Q36" s="172"/>
      <c r="R36" s="172"/>
      <c r="S36" s="172"/>
      <c r="T36" s="172"/>
      <c r="U36" s="172"/>
      <c r="V36" s="172"/>
      <c r="W36" s="172"/>
      <c r="X36" s="172"/>
    </row>
    <row r="37" spans="1:24" ht="13.5" customHeight="1" x14ac:dyDescent="0.2">
      <c r="A37" s="158"/>
      <c r="B37" s="158"/>
      <c r="C37" s="34"/>
      <c r="D37" s="34"/>
      <c r="E37" s="32"/>
      <c r="F37" s="34"/>
      <c r="G37" s="34"/>
      <c r="H37" s="13" t="s">
        <v>175</v>
      </c>
      <c r="I37" s="37">
        <v>31</v>
      </c>
      <c r="J37" s="37"/>
      <c r="K37" s="40">
        <f t="shared" si="11"/>
        <v>309.93502093442362</v>
      </c>
      <c r="L37" s="41">
        <f t="shared" si="12"/>
        <v>265.75650890221118</v>
      </c>
      <c r="M37" s="16">
        <f>Bilance!$N$32</f>
        <v>120</v>
      </c>
      <c r="N37" s="173">
        <f>+M37*$C$11*1000*4187*(Bilance!$N$28-10)/3600000</f>
        <v>75.365999999999985</v>
      </c>
      <c r="O37" s="41">
        <f t="shared" si="13"/>
        <v>385.3010209344236</v>
      </c>
      <c r="P37" s="174">
        <f t="shared" si="14"/>
        <v>341.12250890221117</v>
      </c>
      <c r="Q37" s="172"/>
      <c r="R37" s="172"/>
      <c r="S37" s="172"/>
      <c r="T37" s="172"/>
      <c r="U37" s="172"/>
      <c r="V37" s="172"/>
      <c r="W37" s="172"/>
      <c r="X37" s="172"/>
    </row>
    <row r="38" spans="1:24" ht="13.5" customHeight="1" x14ac:dyDescent="0.2">
      <c r="A38" s="158"/>
      <c r="B38" s="158"/>
      <c r="C38" s="34"/>
      <c r="D38" s="34"/>
      <c r="E38" s="32"/>
      <c r="F38" s="34"/>
      <c r="G38" s="34"/>
      <c r="H38" s="13" t="s">
        <v>176</v>
      </c>
      <c r="I38" s="37">
        <v>30</v>
      </c>
      <c r="J38" s="37"/>
      <c r="K38" s="40">
        <f t="shared" si="11"/>
        <v>299.93711703331314</v>
      </c>
      <c r="L38" s="41">
        <f t="shared" si="12"/>
        <v>1179.6526166965152</v>
      </c>
      <c r="M38" s="16">
        <f>Bilance!$N$32</f>
        <v>120</v>
      </c>
      <c r="N38" s="173">
        <f>+M38*$C$11*1000*4187*(Bilance!$N$28-10)/3600000</f>
        <v>75.365999999999985</v>
      </c>
      <c r="O38" s="41">
        <f t="shared" si="13"/>
        <v>375.30311703331313</v>
      </c>
      <c r="P38" s="174">
        <f t="shared" si="14"/>
        <v>1255.0186166965152</v>
      </c>
      <c r="Q38" s="172"/>
      <c r="R38" s="172"/>
      <c r="S38" s="172"/>
      <c r="T38" s="172"/>
      <c r="U38" s="172"/>
      <c r="V38" s="172"/>
      <c r="W38" s="172"/>
      <c r="X38" s="172"/>
    </row>
    <row r="39" spans="1:24" ht="13.5" customHeight="1" x14ac:dyDescent="0.2">
      <c r="A39" s="158"/>
      <c r="B39" s="158"/>
      <c r="C39" s="34"/>
      <c r="D39" s="34"/>
      <c r="E39" s="32"/>
      <c r="F39" s="34"/>
      <c r="G39" s="34"/>
      <c r="H39" s="13" t="s">
        <v>177</v>
      </c>
      <c r="I39" s="37">
        <v>31</v>
      </c>
      <c r="J39" s="37"/>
      <c r="K39" s="40">
        <f t="shared" si="11"/>
        <v>309.93502093442362</v>
      </c>
      <c r="L39" s="41">
        <f t="shared" si="12"/>
        <v>2229.5944605818554</v>
      </c>
      <c r="M39" s="16">
        <f>Bilance!$N$32</f>
        <v>120</v>
      </c>
      <c r="N39" s="173">
        <f>+M39*$C$11*1000*4187*(Bilance!$N$28-10)/3600000</f>
        <v>75.365999999999985</v>
      </c>
      <c r="O39" s="41">
        <f t="shared" si="13"/>
        <v>385.3010209344236</v>
      </c>
      <c r="P39" s="174">
        <f t="shared" si="14"/>
        <v>2304.9604605818554</v>
      </c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 x14ac:dyDescent="0.2">
      <c r="A40" s="158"/>
      <c r="B40" s="158"/>
      <c r="C40" s="34"/>
      <c r="D40" s="34"/>
      <c r="E40" s="32"/>
      <c r="F40" s="34"/>
      <c r="G40" s="34"/>
      <c r="H40" s="13" t="s">
        <v>178</v>
      </c>
      <c r="I40" s="37">
        <v>30</v>
      </c>
      <c r="J40" s="37"/>
      <c r="K40" s="40">
        <f t="shared" si="11"/>
        <v>299.93711703331314</v>
      </c>
      <c r="L40" s="41">
        <f t="shared" si="12"/>
        <v>3068.862332165666</v>
      </c>
      <c r="M40" s="16">
        <f>Bilance!$N$32</f>
        <v>120</v>
      </c>
      <c r="N40" s="173">
        <f>+M40*$C$11*1000*4187*(Bilance!$N$28-10)/3600000</f>
        <v>75.365999999999985</v>
      </c>
      <c r="O40" s="41">
        <f t="shared" si="13"/>
        <v>375.30311703331313</v>
      </c>
      <c r="P40" s="174">
        <f t="shared" si="14"/>
        <v>3144.228332165666</v>
      </c>
      <c r="Q40" s="172"/>
      <c r="R40" s="172"/>
      <c r="S40" s="172"/>
      <c r="T40" s="172"/>
      <c r="U40" s="172"/>
      <c r="V40" s="172"/>
      <c r="W40" s="172"/>
      <c r="X40" s="172"/>
    </row>
    <row r="41" spans="1:24" ht="13.5" customHeight="1" thickBot="1" x14ac:dyDescent="0.25">
      <c r="A41" s="158"/>
      <c r="B41" s="158"/>
      <c r="C41" s="34"/>
      <c r="D41" s="34"/>
      <c r="E41" s="32"/>
      <c r="F41" s="34"/>
      <c r="G41" s="34"/>
      <c r="H41" s="23" t="s">
        <v>179</v>
      </c>
      <c r="I41" s="42">
        <v>31</v>
      </c>
      <c r="J41" s="42"/>
      <c r="K41" s="43">
        <f t="shared" si="11"/>
        <v>309.93502093442362</v>
      </c>
      <c r="L41" s="44">
        <f t="shared" si="12"/>
        <v>3639.3312246708556</v>
      </c>
      <c r="M41" s="26">
        <f>Bilance!$N$32</f>
        <v>120</v>
      </c>
      <c r="N41" s="175">
        <f>+M41*$C$11*1000*4187*(Bilance!$N$28-10)/3600000</f>
        <v>75.365999999999985</v>
      </c>
      <c r="O41" s="44">
        <f t="shared" si="13"/>
        <v>385.3010209344236</v>
      </c>
      <c r="P41" s="176">
        <f t="shared" si="14"/>
        <v>3714.6972246708556</v>
      </c>
      <c r="Q41" s="172"/>
      <c r="R41" s="172"/>
      <c r="S41" s="172"/>
      <c r="T41" s="172"/>
      <c r="U41" s="172"/>
      <c r="V41" s="172"/>
      <c r="W41" s="172"/>
      <c r="X41" s="172"/>
    </row>
    <row r="42" spans="1:24" ht="12.75" customHeight="1" x14ac:dyDescent="0.2">
      <c r="A42" s="108"/>
      <c r="B42" s="108"/>
      <c r="C42" s="109"/>
      <c r="D42" s="109"/>
      <c r="E42" s="109"/>
      <c r="F42" s="112"/>
      <c r="G42" s="109"/>
      <c r="H42" s="109"/>
      <c r="I42" s="109"/>
      <c r="J42" s="109"/>
      <c r="K42" s="109"/>
      <c r="L42" s="109"/>
      <c r="M42" s="109"/>
      <c r="N42" s="109"/>
      <c r="O42" s="10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2.75" customHeight="1" x14ac:dyDescent="0.2">
      <c r="A43" s="113"/>
      <c r="B43" s="111"/>
      <c r="C43" s="114"/>
      <c r="D43" s="109"/>
      <c r="E43" s="110"/>
      <c r="F43" s="111"/>
      <c r="G43" s="109"/>
      <c r="H43" s="109"/>
      <c r="I43" s="109"/>
      <c r="J43" s="109"/>
      <c r="K43" s="109"/>
      <c r="L43" s="109"/>
      <c r="M43" s="109"/>
      <c r="N43" s="109"/>
      <c r="O43" s="10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2.75" customHeight="1" x14ac:dyDescent="0.2">
      <c r="A44" s="111"/>
      <c r="B44" s="111"/>
      <c r="C44" s="111"/>
      <c r="D44" s="109"/>
      <c r="E44" s="111"/>
      <c r="F44" s="109"/>
      <c r="G44" s="111"/>
      <c r="H44" s="111"/>
      <c r="I44" s="109"/>
      <c r="J44" s="109"/>
      <c r="K44" s="109"/>
      <c r="L44" s="115"/>
      <c r="M44" s="106"/>
      <c r="N44" s="107"/>
      <c r="O44" s="116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2.75" customHeight="1" x14ac:dyDescent="0.2">
      <c r="A45" s="117"/>
      <c r="B45" s="118"/>
      <c r="C45" s="110"/>
      <c r="D45" s="109"/>
      <c r="E45" s="110"/>
      <c r="F45" s="110"/>
      <c r="G45" s="110"/>
      <c r="H45" s="110"/>
      <c r="I45" s="109"/>
      <c r="J45" s="109"/>
      <c r="K45" s="109"/>
      <c r="L45" s="115"/>
      <c r="M45" s="106"/>
      <c r="N45" s="107"/>
      <c r="O45" s="116"/>
      <c r="P45" s="39"/>
      <c r="Q45" s="39"/>
      <c r="S45" s="39"/>
      <c r="T45" s="39"/>
      <c r="U45" s="39"/>
      <c r="V45" s="39"/>
      <c r="W45" s="39"/>
      <c r="X45" s="39"/>
    </row>
    <row r="46" spans="1:24" ht="12.75" customHeight="1" x14ac:dyDescent="0.2">
      <c r="A46" s="46"/>
      <c r="B46" s="46"/>
      <c r="C46" s="22"/>
      <c r="D46" s="22"/>
      <c r="E46" s="22"/>
      <c r="F46" s="22"/>
      <c r="G46" s="22"/>
      <c r="H46" s="22"/>
      <c r="I46" s="22"/>
      <c r="J46" s="22"/>
      <c r="K46" s="22"/>
      <c r="L46" s="45"/>
      <c r="N46" s="2"/>
      <c r="O46" s="39"/>
      <c r="P46" s="39"/>
      <c r="Q46" s="39"/>
      <c r="S46" s="39"/>
      <c r="T46" s="39"/>
      <c r="U46" s="39"/>
      <c r="V46" s="39"/>
      <c r="W46" s="39"/>
      <c r="X46" s="39"/>
    </row>
    <row r="47" spans="1:24" ht="12.75" customHeight="1" x14ac:dyDescent="0.2">
      <c r="A47" s="21"/>
      <c r="B47" s="3"/>
      <c r="C47" s="3"/>
      <c r="D47" s="3"/>
      <c r="E47" s="3"/>
      <c r="F47" s="34"/>
    </row>
    <row r="48" spans="1:24" ht="12.75" customHeight="1" x14ac:dyDescent="0.2">
      <c r="A48" s="21"/>
      <c r="B48" s="3"/>
      <c r="C48" s="3"/>
      <c r="D48" s="3"/>
      <c r="E48" s="3"/>
      <c r="F48" s="34"/>
    </row>
    <row r="49" spans="1:6" ht="12.75" customHeight="1" x14ac:dyDescent="0.2">
      <c r="A49" s="21"/>
      <c r="B49" s="3"/>
      <c r="C49" s="3"/>
      <c r="D49" s="3"/>
      <c r="E49" s="3"/>
      <c r="F49" s="34"/>
    </row>
    <row r="50" spans="1:6" ht="12.75" customHeight="1" x14ac:dyDescent="0.2">
      <c r="A50" s="21"/>
      <c r="B50" s="3"/>
      <c r="C50" s="3"/>
      <c r="D50" s="3"/>
      <c r="E50" s="3"/>
      <c r="F50" s="34"/>
    </row>
  </sheetData>
  <sheetProtection sheet="1" objects="1" scenarios="1" selectLockedCells="1"/>
  <pageMargins left="0.25" right="0.25" top="0.18" bottom="0.56000000000000005" header="0.17" footer="0.5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Bilance</vt:lpstr>
      <vt:lpstr>H</vt:lpstr>
      <vt:lpstr>GRAF</vt:lpstr>
      <vt:lpstr>G</vt:lpstr>
      <vt:lpstr>BAZ</vt:lpstr>
      <vt:lpstr>Bilance!Oblast_tisku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Tomáš</cp:lastModifiedBy>
  <cp:lastPrinted>2015-09-16T08:00:17Z</cp:lastPrinted>
  <dcterms:created xsi:type="dcterms:W3CDTF">2015-02-23T15:42:12Z</dcterms:created>
  <dcterms:modified xsi:type="dcterms:W3CDTF">2015-10-01T12:37:24Z</dcterms:modified>
</cp:coreProperties>
</file>